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08" firstSheet="9" activeTab="9"/>
  </bookViews>
  <sheets>
    <sheet name="Анализ СМП" sheetId="1" r:id="rId1"/>
    <sheet name="СМП (базовый  май)" sheetId="2" r:id="rId2"/>
    <sheet name="Лист2" sheetId="3" r:id="rId3"/>
    <sheet name="Расчет ЕПН на 02.02.13" sheetId="4" r:id="rId4"/>
    <sheet name="январь 2" sheetId="5" r:id="rId5"/>
    <sheet name="прил к Комиссии" sheetId="6" r:id="rId6"/>
    <sheet name="февраль2" sheetId="7" r:id="rId7"/>
    <sheet name="март2" sheetId="8" r:id="rId8"/>
    <sheet name="2014 г БПН" sheetId="9" r:id="rId9"/>
    <sheet name="ЕПН" sheetId="10" r:id="rId10"/>
  </sheets>
  <definedNames>
    <definedName name="_xlnm.Print_Titles" localSheetId="0">'Анализ СМП'!$A:$A,'Анализ СМП'!$2:$4</definedName>
    <definedName name="_xlnm.Print_Titles" localSheetId="9">'ЕПН'!$A:$B</definedName>
    <definedName name="_xlnm.Print_Titles" localSheetId="1">'СМП (базовый  май)'!$A:$A,'СМП (базовый  май)'!$2:$4</definedName>
    <definedName name="_xlnm.Print_Area" localSheetId="0">'Анализ СМП'!$A$2:$AA$25</definedName>
    <definedName name="_xlnm.Print_Area" localSheetId="2">'Лист2'!$A$1:$N$8</definedName>
    <definedName name="_xlnm.Print_Area" localSheetId="7">'март2'!$A$1:$I$24</definedName>
    <definedName name="_xlnm.Print_Area" localSheetId="5">'прил к Комиссии'!$A$1:$B$27</definedName>
    <definedName name="_xlnm.Print_Area" localSheetId="3">'Расчет ЕПН на 02.02.13'!$A$1:$I$23</definedName>
    <definedName name="_xlnm.Print_Area" localSheetId="1">'СМП (базовый  май)'!$A$1:$AA$25</definedName>
    <definedName name="_xlnm.Print_Area" localSheetId="6">'февраль2'!$A$1:$I$23</definedName>
    <definedName name="_xlnm.Print_Area" localSheetId="4">'январь 2'!$A$1:$I$23</definedName>
  </definedNames>
  <calcPr fullCalcOnLoad="1"/>
</workbook>
</file>

<file path=xl/comments8.xml><?xml version="1.0" encoding="utf-8"?>
<comments xmlns="http://schemas.openxmlformats.org/spreadsheetml/2006/main">
  <authors>
    <author>efimova</author>
  </authors>
  <commentList>
    <comment ref="D22" authorId="0">
      <text>
        <r>
          <rPr>
            <b/>
            <sz val="8"/>
            <rFont val="Tahoma"/>
            <family val="2"/>
          </rPr>
          <t>efimova: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<sst xmlns="http://schemas.openxmlformats.org/spreadsheetml/2006/main" count="402" uniqueCount="193">
  <si>
    <t>Наименование МО</t>
  </si>
  <si>
    <t>Численность застрахованного населения на 01.04.12</t>
  </si>
  <si>
    <t xml:space="preserve">Ежемесячный подушевой норматив </t>
  </si>
  <si>
    <t xml:space="preserve"> Коэффициент корректировки</t>
  </si>
  <si>
    <t>Расчет подушевого норматива финансирования СМП</t>
  </si>
  <si>
    <t>МУЗ Бокситогорская ЦРБ</t>
  </si>
  <si>
    <t>МБУЗ Волосовская ЦРБ</t>
  </si>
  <si>
    <t>МБУЗ Волховская ЦРБ</t>
  </si>
  <si>
    <t>МБУЗ Всеволожская КЦРБ</t>
  </si>
  <si>
    <t>МБУЗ Токсовская РБ</t>
  </si>
  <si>
    <t>МУЗ Сертоловская ЦГБ</t>
  </si>
  <si>
    <t>МБУЗ Станция скорой помощи г. Выборга</t>
  </si>
  <si>
    <t>МБУЗ Гатчинская ЦРКБ</t>
  </si>
  <si>
    <t>МБУЗ Кингисеппская ЦРБ им. Прохорова</t>
  </si>
  <si>
    <t>МБУЗ ЦРБ г. Кириши</t>
  </si>
  <si>
    <t>МБУЗ Кировская ЦРБ</t>
  </si>
  <si>
    <t>МБУЗ Лодейнопольская ЦРБ</t>
  </si>
  <si>
    <t>МУЗ Лужская ЦРБ</t>
  </si>
  <si>
    <t>МБУЗ Центральная больница Ломоносовского района</t>
  </si>
  <si>
    <t>МБУЗ Подпорожская ЦРБ</t>
  </si>
  <si>
    <t>МБУЗ Сланцевская ЦРБ</t>
  </si>
  <si>
    <t>ФГБУЗ ЦМСЧ № 38 ФМБА России</t>
  </si>
  <si>
    <t>МУЗ Тихвинская ЦРБ</t>
  </si>
  <si>
    <t>МБУЗ Тосненская ЦРБ</t>
  </si>
  <si>
    <t>МБУЗ Приозерская ЦРБ</t>
  </si>
  <si>
    <t>2.1</t>
  </si>
  <si>
    <t>Контрольная сумма</t>
  </si>
  <si>
    <t>Стоимость медицинской помощи по распределенному объему МП на 2013*</t>
  </si>
  <si>
    <t>Стоимость медицинской помощи по распределенному объему МП на период с 01.09.2013 по 31.12.2013*</t>
  </si>
  <si>
    <t>Отклонение</t>
  </si>
  <si>
    <t>* - сумма по программе</t>
  </si>
  <si>
    <t>Отклонение объемов</t>
  </si>
  <si>
    <t>1</t>
  </si>
  <si>
    <t>2</t>
  </si>
  <si>
    <t>5</t>
  </si>
  <si>
    <t>8.1</t>
  </si>
  <si>
    <t>8.2</t>
  </si>
  <si>
    <t>10=8*9</t>
  </si>
  <si>
    <t>3.1</t>
  </si>
  <si>
    <t>3.2</t>
  </si>
  <si>
    <t>3.3=3-3.2</t>
  </si>
  <si>
    <t>Отклонение стоимости МП 2013 от 2012 г.</t>
  </si>
  <si>
    <t>3.1.1</t>
  </si>
  <si>
    <t>Наименование подгруппы планирования</t>
  </si>
  <si>
    <t>Фельдшерская бригада 1</t>
  </si>
  <si>
    <t>Фельдшерская бригада 2</t>
  </si>
  <si>
    <t>Врачебная бригада 1</t>
  </si>
  <si>
    <t>Врачебная бригада 2</t>
  </si>
  <si>
    <t>Сумма объемов по СМП 2013</t>
  </si>
  <si>
    <t>Стоимость 1 вызова с 01.01.2013 по 31.08.2013</t>
  </si>
  <si>
    <t>Стоимость 1 вызова с 01.09.2013 по 31.12.2013</t>
  </si>
  <si>
    <t>Средняя стоимость ед. объема за период с 01.01.2013 по 01.08.2013</t>
  </si>
  <si>
    <t>Средняя стоимость ед. объема за период с 01.09.2013 по 31.12.2013</t>
  </si>
  <si>
    <t>Средняя стоимость ед. объема за 2013 год</t>
  </si>
  <si>
    <t>Сводный расчет по СМП на 2013 год для планирования</t>
  </si>
  <si>
    <t>Всего ЛО</t>
  </si>
  <si>
    <t>Всего РФ</t>
  </si>
  <si>
    <t>Объемы за период с 01.01.2013 по 31.08.2013</t>
  </si>
  <si>
    <t>Объемы за период с 01.09.2013 по 31.12.2013</t>
  </si>
  <si>
    <t>Общая стоимость по видам бригад 2013</t>
  </si>
  <si>
    <t>Стоимость по видам бригад за период с 01.01.2013 по 01.08.2013</t>
  </si>
  <si>
    <t>Стоимость по видам бригад за период с 01.09.2013 по 31.12.2013</t>
  </si>
  <si>
    <t>ИТОГО</t>
  </si>
  <si>
    <t>Стоимость МП в 2012 г.(по Приказу № 27)</t>
  </si>
  <si>
    <t>Объемы 2013 от Комитета (Виктория)</t>
  </si>
  <si>
    <t>Всего по ЛО</t>
  </si>
  <si>
    <t>Всего по РФ</t>
  </si>
  <si>
    <t>Объемы 2013, утвержденные Комиссией</t>
  </si>
  <si>
    <t>Плановые объемы 2012 года</t>
  </si>
  <si>
    <t>Базовый подушевой нормтив в месяц за 2013 г.</t>
  </si>
  <si>
    <t>Базовый подушевой нормтив в месяц за период 01.09.2013 по 31.12.2013</t>
  </si>
  <si>
    <t>Процент исполнения бюджета на 2013 в сравнении с 2012</t>
  </si>
  <si>
    <t>3=3/3.1</t>
  </si>
  <si>
    <t>ЛО + РФ</t>
  </si>
  <si>
    <t>средний подушевой норматив за период с 01.01.2013 по 31.08.2013</t>
  </si>
  <si>
    <t>средний подушевой норматив за период с 01.09.2013 по 31.12.2013</t>
  </si>
  <si>
    <t>средний подушевой норматив за 2013 год</t>
  </si>
  <si>
    <t>6.1</t>
  </si>
  <si>
    <t xml:space="preserve">Численность обслуживаемого населения (2011 г) </t>
  </si>
  <si>
    <t>динамика по численности 2013-2012</t>
  </si>
  <si>
    <t xml:space="preserve">% соотношение численности </t>
  </si>
  <si>
    <t>Численность застрахованного населения на 01.04.12 (чел.)</t>
  </si>
  <si>
    <t xml:space="preserve"> Коэффициент корректировки (руб.)</t>
  </si>
  <si>
    <t xml:space="preserve">МУЗ "Бокситогорская ЦРБ" </t>
  </si>
  <si>
    <t>МБУЗ "Волосовская ЦРБ"</t>
  </si>
  <si>
    <t>МБУЗ "Волховская ЦРБ"</t>
  </si>
  <si>
    <t>МБУЗ "Всеволожская ЦРБ"</t>
  </si>
  <si>
    <t>МБУЗ  "ТРБ"</t>
  </si>
  <si>
    <t>МУЗ "Сертоловская ЦГБ"</t>
  </si>
  <si>
    <t>МБУЗ "Гатчинская ЦРКБ"</t>
  </si>
  <si>
    <t>МБУЗ "Кингисеппская ЦРБ им. П.Н. Прохорова"</t>
  </si>
  <si>
    <t>МБУЗ" Кировская ЦРБ"</t>
  </si>
  <si>
    <t>МУЗ Лодейнопольская ЦРБ</t>
  </si>
  <si>
    <t>МБУЗ ЦБЛР им. Юдченко И.Н.</t>
  </si>
  <si>
    <t>МУЗ "Лужская ЦРБ"</t>
  </si>
  <si>
    <t>МБУЗ "ПЦРБ"</t>
  </si>
  <si>
    <t>МБУЗ "Приозерская ЦРБ"</t>
  </si>
  <si>
    <t>МУЗ "СЦРБ"</t>
  </si>
  <si>
    <t xml:space="preserve">МУЗ «Тихвинская ЦРБ» </t>
  </si>
  <si>
    <t>МБУЗ" Тосненская ЦРБ"</t>
  </si>
  <si>
    <t>Стоимость медицинской помощи по распределенному объему МП на период (1 квартал) с 01.01.2013 по 31.03.2013*</t>
  </si>
  <si>
    <t>Стоимость медицинской помощи по распределенному объему МП на период (3 квартал) с 01.07.2013 по 31.08.2013*</t>
  </si>
  <si>
    <t>4.1</t>
  </si>
  <si>
    <t>4.2</t>
  </si>
  <si>
    <t>4.3</t>
  </si>
  <si>
    <t xml:space="preserve">Базовый подушевой нормтив в месяц за период 01.01.2013 по 31.03.2013 </t>
  </si>
  <si>
    <t>8.1.1</t>
  </si>
  <si>
    <t>8.1.2</t>
  </si>
  <si>
    <t>8=(3/6)/12</t>
  </si>
  <si>
    <t>Базовый подушевой нормтив в месяц за период 01.04.2013 по 30.06.2013</t>
  </si>
  <si>
    <t>Базовый подушевой нормтив в месяц за период 01.07.2013 по 31.08.2013</t>
  </si>
  <si>
    <t>7.1</t>
  </si>
  <si>
    <t>7</t>
  </si>
  <si>
    <t>Численность застрахованного населения на 1 число отчетного месяца</t>
  </si>
  <si>
    <t>Численность застрахованного населения на последнее число отчетного месяца</t>
  </si>
  <si>
    <t>9=6/(7+7.1)/2</t>
  </si>
  <si>
    <t>Стоимость медицинской помощи по распределенному объему МП на период (2 квартал) с 01.04.2013 по 30.06.2013*</t>
  </si>
  <si>
    <t>средний подушевой норматив за период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</si>
  <si>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>январь</t>
    </r>
    <r>
      <rPr>
        <sz val="12"/>
        <rFont val="Times New Roman"/>
        <family val="1"/>
      </rPr>
      <t>месяц (руб.)</t>
    </r>
  </si>
  <si>
    <t>9=8*7</t>
  </si>
  <si>
    <t>Численность застрахованного населения на 01.01.2013 (чел.)</t>
  </si>
  <si>
    <t>Численность застрахованного населения на 02.02.2013 (чел.)</t>
  </si>
  <si>
    <t>Ежемесячный подушевой норматив финансирования по ТП ОМС 2013 на январь месяц</t>
  </si>
  <si>
    <t>8=3/6</t>
  </si>
  <si>
    <t>Объем финансирования СМП на период с 01.01.13 по 31.01.13 (руб.)</t>
  </si>
  <si>
    <t>Средняя численность застрахованного населения на период с 01.01.13 по 02.02.13 (чел.)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</si>
  <si>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 xml:space="preserve">февраль </t>
    </r>
    <r>
      <rPr>
        <sz val="12"/>
        <rFont val="Times New Roman"/>
        <family val="1"/>
      </rPr>
      <t>месяц (руб.)</t>
    </r>
  </si>
  <si>
    <t>Численность застрахованного населения на 01.02.2013 (чел.)</t>
  </si>
  <si>
    <t>Численность застрахованного населения на 01.03.2013 (чел.)</t>
  </si>
  <si>
    <t>Средняя численность застрахованного населения на период с 01.02.13 по 01.03.13 (чел.)</t>
  </si>
  <si>
    <t>Ежемесячный подушевой норматив финансирования по ТП ОМС 2013 на февраль месяц</t>
  </si>
  <si>
    <t>Приложение</t>
  </si>
  <si>
    <t>к Соглашению №2</t>
  </si>
  <si>
    <t>от 01.03.2013</t>
  </si>
  <si>
    <t>Численность застрахованного населения на 01.04.2013 (чел.)</t>
  </si>
  <si>
    <t>Объем финансирования СМП на период с 01.01.13 по 31.01.13 в месяц (руб.)</t>
  </si>
  <si>
    <t>Ежемесячный подушевой норматив финансирования по ТП ОМС 2013 на март месяц</t>
  </si>
  <si>
    <r>
      <t xml:space="preserve">Ежемесячный подушевой норматив на </t>
    </r>
    <r>
      <rPr>
        <u val="single"/>
        <sz val="12"/>
        <rFont val="Times New Roman"/>
        <family val="1"/>
      </rPr>
      <t xml:space="preserve">март </t>
    </r>
    <r>
      <rPr>
        <sz val="12"/>
        <rFont val="Times New Roman"/>
        <family val="1"/>
      </rPr>
      <t>месяц (руб.)</t>
    </r>
  </si>
  <si>
    <t>в среднем на 1 мес</t>
  </si>
  <si>
    <t>Приложение 1 к  Приказу ТФОМС от __________№______</t>
  </si>
  <si>
    <t>Расчет подушевого норматива финансирования СМП на 2013 год</t>
  </si>
  <si>
    <t>3</t>
  </si>
  <si>
    <t>4</t>
  </si>
  <si>
    <t>8</t>
  </si>
  <si>
    <t>9</t>
  </si>
  <si>
    <t>10</t>
  </si>
  <si>
    <t>скрыть</t>
  </si>
  <si>
    <t>МУЗ "Бокситогорская ЦРБ"</t>
  </si>
  <si>
    <t>МБУЗ "Волосовская  ЦРБ"</t>
  </si>
  <si>
    <t>МБУЗ "Всеволожская КЦРБ"</t>
  </si>
  <si>
    <t>МБУЗ "Токсовская  районная  больница"</t>
  </si>
  <si>
    <t>МБУЗ "Станция скорой медицинской помощи г. Выборга"</t>
  </si>
  <si>
    <t>МУЗ  "ЦРБ" (г.Кириши)</t>
  </si>
  <si>
    <t>МБУЗ "Кировская ЦРБ"</t>
  </si>
  <si>
    <t>МБУЗ  "Лодейнопольская ЦРБ"</t>
  </si>
  <si>
    <t>МБУЗ "ЦБЛР"</t>
  </si>
  <si>
    <t>МУЗ  "Тихвинская ЦРБ"</t>
  </si>
  <si>
    <t>МБУЗ "Тосненская ЦРБ"</t>
  </si>
  <si>
    <t>Сосновый бор</t>
  </si>
  <si>
    <t>Итого ЛО</t>
  </si>
  <si>
    <t>Объем финансирования на 2014 г.</t>
  </si>
  <si>
    <t>Численность на 01.04.2013</t>
  </si>
  <si>
    <t>проверка</t>
  </si>
  <si>
    <t>Базовый подушевой норматив          на 2014 г. в месяц</t>
  </si>
  <si>
    <t>№п/п</t>
  </si>
  <si>
    <r>
      <t xml:space="preserve">Расчет базового подушевого норматива финансирования по скорой медицинской помощи </t>
    </r>
    <r>
      <rPr>
        <b/>
        <u val="single"/>
        <sz val="12"/>
        <rFont val="Times New Roman"/>
        <family val="1"/>
      </rPr>
      <t>на январь 2014 г.</t>
    </r>
  </si>
  <si>
    <t>ГБУЗ ЛО "ВСЕВОЛОЖСКАЯ КМБ"</t>
  </si>
  <si>
    <t>ГБУЗ ЛО "ВЫБОРГСКАЯ ССМП"</t>
  </si>
  <si>
    <t>ГБУЗ ЛО "КИРИШСКАЯ КМБ"</t>
  </si>
  <si>
    <t>ГБУЗ ЛО "ТОСНЕНСКАЯ КМБ"</t>
  </si>
  <si>
    <t>ГБУЗ ЛО "ГАТЧИНСКАЯ КМБ"</t>
  </si>
  <si>
    <t>ГБУЗ ЛО "ЛУЖСКАЯ МБ"</t>
  </si>
  <si>
    <t>ГБУЗ ЛО "ПОДПОРОЖСКАЯ МБ"</t>
  </si>
  <si>
    <t>ГБУЗ ЛО "СЛАНЦЕВСКАЯ МБ"</t>
  </si>
  <si>
    <t>ГБУЗ ЛО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</si>
  <si>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</si>
  <si>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</si>
  <si>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</si>
  <si>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</si>
  <si>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</si>
  <si>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</si>
  <si>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</si>
  <si>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"ПРИОЗЕРСКАЯ МБ"</t>
  </si>
  <si>
    <t>ГБУЗ ЛО "СЕРТОЛОВСКАЯ ГБ"</t>
  </si>
  <si>
    <t>ГБУЗ ЛО "ТОКСОВСКАЯ РБ"</t>
  </si>
  <si>
    <t>ФГБУЗ ЦМСЧ № 38 ФМБА РОССИИ</t>
  </si>
  <si>
    <t>Ко=0,9</t>
  </si>
  <si>
    <t>на апрель 2016 года</t>
  </si>
  <si>
    <t>Подушевой норматив финансирования скорой медицинской помощи по базовой ТП ОМС Ленинградской области на 2016 год</t>
  </si>
  <si>
    <t>Раздел Ежемесячный подушевой норматив (основная часть)</t>
  </si>
  <si>
    <t>Медицинские организации:районного/межрайонного уровня</t>
  </si>
  <si>
    <r>
      <rPr>
        <i/>
        <sz val="12"/>
        <rFont val="Times New Roman"/>
        <family val="1"/>
      </rPr>
      <t xml:space="preserve">ОЧ </t>
    </r>
    <r>
      <rPr>
        <sz val="12"/>
        <rFont val="Times New Roman"/>
        <family val="1"/>
      </rPr>
      <t>ЕПН СМП на апрель 2016г (руб.)</t>
    </r>
  </si>
  <si>
    <t>Приложение 4 к Соглашению  №5   от 31.05.2016г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</si>
</sst>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#,##0.0"/>
    <numFmt numFmtId="174" formatCode="#,##0.000000000"/>
    <numFmt numFmtId="175" formatCode="#,##0.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[$€-2]\ ###,000_);[Red]\([$€-2]\ ###,000\)"/>
    <numFmt numFmtId="182" formatCode="0.0"/>
  </numFmts>
  <fonts count="41"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2" fillId="0" borderId="10" xfId="0" applyNumberFormat="1" applyFont="1" applyBorder="1" applyAlignment="1">
      <alignment horizontal="center"/>
    </xf>
    <xf numFmtId="3" fontId="5" fillId="25" borderId="0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6" fillId="25" borderId="10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2" fillId="26" borderId="10" xfId="0" applyNumberFormat="1" applyFont="1" applyFill="1" applyBorder="1" applyAlignment="1">
      <alignment horizontal="center"/>
    </xf>
    <xf numFmtId="3" fontId="0" fillId="26" borderId="10" xfId="0" applyNumberFormat="1" applyFill="1" applyBorder="1" applyAlignment="1">
      <alignment horizontal="center"/>
    </xf>
    <xf numFmtId="3" fontId="2" fillId="26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22" borderId="0" xfId="0" applyFont="1" applyFill="1" applyAlignment="1">
      <alignment/>
    </xf>
    <xf numFmtId="2" fontId="14" fillId="2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7" borderId="0" xfId="0" applyFont="1" applyFill="1" applyAlignment="1">
      <alignment/>
    </xf>
    <xf numFmtId="0" fontId="16" fillId="22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22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0" xfId="33" applyNumberFormat="1" applyFont="1" applyBorder="1" applyAlignment="1">
      <alignment horizontal="center" vertical="center" wrapText="1" shrinkToFi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9" fillId="0" borderId="10" xfId="33" applyNumberFormat="1" applyFont="1" applyBorder="1" applyAlignment="1">
      <alignment horizontal="center" vertical="center" wrapText="1" shrinkToFit="1"/>
      <protection/>
    </xf>
    <xf numFmtId="4" fontId="9" fillId="25" borderId="10" xfId="33" applyNumberFormat="1" applyFont="1" applyFill="1" applyBorder="1" applyAlignment="1">
      <alignment horizontal="left" vertical="center" wrapText="1" shrinkToFit="1"/>
      <protection/>
    </xf>
    <xf numFmtId="4" fontId="9" fillId="0" borderId="10" xfId="33" applyNumberFormat="1" applyFont="1" applyFill="1" applyBorder="1" applyAlignment="1">
      <alignment horizontal="left" vertical="center" wrapText="1" shrinkToFit="1"/>
      <protection/>
    </xf>
    <xf numFmtId="3" fontId="8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2" fontId="19" fillId="22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6" fillId="0" borderId="10" xfId="33" applyFont="1" applyBorder="1" applyAlignment="1">
      <alignment horizontal="left"/>
      <protection/>
    </xf>
    <xf numFmtId="3" fontId="7" fillId="0" borderId="1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0" fillId="0" borderId="16" xfId="33" applyNumberFormat="1" applyFont="1" applyFill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SheetLayoutView="100" zoomScalePageLayoutView="0" workbookViewId="0" topLeftCell="A1">
      <pane xSplit="1" ySplit="4" topLeftCell="L5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5.125" style="0" customWidth="1"/>
    <col min="2" max="2" width="18.375" style="1" hidden="1" customWidth="1"/>
    <col min="3" max="3" width="18.00390625" style="1" hidden="1" customWidth="1"/>
    <col min="4" max="4" width="18.625" style="1" hidden="1" customWidth="1"/>
    <col min="5" max="5" width="16.75390625" style="1" hidden="1" customWidth="1"/>
    <col min="6" max="6" width="16.625" style="11" hidden="1" customWidth="1"/>
    <col min="7" max="7" width="18.125" style="11" hidden="1" customWidth="1"/>
    <col min="8" max="9" width="16.625" style="11" hidden="1" customWidth="1"/>
    <col min="10" max="10" width="13.25390625" style="11" hidden="1" customWidth="1"/>
    <col min="11" max="11" width="16.625" style="11" hidden="1" customWidth="1"/>
    <col min="12" max="12" width="17.75390625" style="11" customWidth="1"/>
    <col min="13" max="13" width="12.625" style="11" customWidth="1"/>
    <col min="14" max="14" width="10.375" style="11" customWidth="1"/>
    <col min="15" max="15" width="16.75390625" style="11" customWidth="1"/>
    <col min="16" max="16" width="13.125" style="11" customWidth="1"/>
    <col min="17" max="17" width="13.625" style="0" customWidth="1"/>
    <col min="18" max="22" width="17.875" style="0" hidden="1" customWidth="1"/>
    <col min="23" max="23" width="12.375" style="1" hidden="1" customWidth="1"/>
    <col min="24" max="24" width="12.125" style="1" customWidth="1"/>
    <col min="25" max="27" width="15.75390625" style="1" customWidth="1"/>
    <col min="28" max="28" width="13.75390625" style="0" customWidth="1"/>
    <col min="29" max="29" width="16.00390625" style="0" customWidth="1"/>
  </cols>
  <sheetData>
    <row r="1" spans="1:32" ht="12.75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2"/>
      <c r="AE1" s="2"/>
      <c r="AF1" s="2"/>
    </row>
    <row r="2" spans="1:32" ht="12.75">
      <c r="A2" s="148" t="s">
        <v>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6"/>
      <c r="AE2" s="6"/>
      <c r="AF2" s="6"/>
    </row>
    <row r="3" spans="1:30" s="20" customFormat="1" ht="84.75" customHeight="1">
      <c r="A3" s="24" t="s">
        <v>0</v>
      </c>
      <c r="B3" s="25" t="s">
        <v>64</v>
      </c>
      <c r="C3" s="25" t="s">
        <v>67</v>
      </c>
      <c r="D3" s="25" t="s">
        <v>68</v>
      </c>
      <c r="E3" s="25" t="s">
        <v>31</v>
      </c>
      <c r="F3" s="26" t="s">
        <v>27</v>
      </c>
      <c r="G3" s="26" t="s">
        <v>71</v>
      </c>
      <c r="H3" s="26" t="s">
        <v>63</v>
      </c>
      <c r="I3" s="25" t="s">
        <v>41</v>
      </c>
      <c r="J3" s="26" t="s">
        <v>26</v>
      </c>
      <c r="K3" s="26" t="s">
        <v>29</v>
      </c>
      <c r="L3" s="26" t="s">
        <v>100</v>
      </c>
      <c r="M3" s="26" t="s">
        <v>116</v>
      </c>
      <c r="N3" s="26"/>
      <c r="O3" s="26" t="s">
        <v>101</v>
      </c>
      <c r="P3" s="26" t="s">
        <v>28</v>
      </c>
      <c r="Q3" s="25" t="s">
        <v>1</v>
      </c>
      <c r="R3" s="25" t="s">
        <v>78</v>
      </c>
      <c r="S3" s="25" t="s">
        <v>80</v>
      </c>
      <c r="T3" s="25" t="s">
        <v>79</v>
      </c>
      <c r="U3" s="25" t="s">
        <v>113</v>
      </c>
      <c r="V3" s="25" t="s">
        <v>114</v>
      </c>
      <c r="W3" s="25" t="s">
        <v>69</v>
      </c>
      <c r="X3" s="25" t="s">
        <v>105</v>
      </c>
      <c r="Y3" s="25" t="s">
        <v>109</v>
      </c>
      <c r="Z3" s="25" t="s">
        <v>110</v>
      </c>
      <c r="AA3" s="25" t="s">
        <v>70</v>
      </c>
      <c r="AB3" s="25" t="s">
        <v>3</v>
      </c>
      <c r="AC3" s="25" t="s">
        <v>2</v>
      </c>
      <c r="AD3" s="21"/>
    </row>
    <row r="4" spans="1:29" ht="15.75" customHeight="1">
      <c r="A4" s="16"/>
      <c r="B4" s="14"/>
      <c r="C4" s="12" t="s">
        <v>32</v>
      </c>
      <c r="D4" s="12" t="s">
        <v>33</v>
      </c>
      <c r="E4" s="12" t="s">
        <v>25</v>
      </c>
      <c r="F4" s="9">
        <v>3</v>
      </c>
      <c r="G4" s="9" t="s">
        <v>72</v>
      </c>
      <c r="H4" s="12" t="s">
        <v>38</v>
      </c>
      <c r="I4" s="12" t="s">
        <v>42</v>
      </c>
      <c r="J4" s="12" t="s">
        <v>39</v>
      </c>
      <c r="K4" s="12" t="s">
        <v>40</v>
      </c>
      <c r="L4" s="12" t="s">
        <v>102</v>
      </c>
      <c r="M4" s="12" t="s">
        <v>103</v>
      </c>
      <c r="N4" s="12"/>
      <c r="O4" s="12" t="s">
        <v>104</v>
      </c>
      <c r="P4" s="12" t="s">
        <v>34</v>
      </c>
      <c r="Q4" s="5">
        <v>6</v>
      </c>
      <c r="R4" s="12" t="s">
        <v>77</v>
      </c>
      <c r="S4" s="12"/>
      <c r="T4" s="12"/>
      <c r="U4" s="12" t="s">
        <v>112</v>
      </c>
      <c r="V4" s="12" t="s">
        <v>111</v>
      </c>
      <c r="W4" s="5" t="s">
        <v>108</v>
      </c>
      <c r="X4" s="12" t="s">
        <v>35</v>
      </c>
      <c r="Y4" s="12" t="s">
        <v>106</v>
      </c>
      <c r="Z4" s="12" t="s">
        <v>107</v>
      </c>
      <c r="AA4" s="12" t="s">
        <v>36</v>
      </c>
      <c r="AB4" s="5" t="s">
        <v>115</v>
      </c>
      <c r="AC4" s="5" t="s">
        <v>37</v>
      </c>
    </row>
    <row r="5" spans="1:29" ht="21" customHeight="1">
      <c r="A5" s="3" t="s">
        <v>5</v>
      </c>
      <c r="B5" s="5">
        <v>20764</v>
      </c>
      <c r="C5" s="5">
        <v>20666</v>
      </c>
      <c r="D5" s="5">
        <v>22200</v>
      </c>
      <c r="E5" s="5">
        <f>C5-D5</f>
        <v>-1534</v>
      </c>
      <c r="F5" s="9">
        <v>43925045</v>
      </c>
      <c r="G5" s="41">
        <f>F5/H5</f>
        <v>1.0546431864237489</v>
      </c>
      <c r="H5" s="9">
        <f>41649.2*1000</f>
        <v>41649200</v>
      </c>
      <c r="I5" s="9">
        <f>F5-H5</f>
        <v>2275845</v>
      </c>
      <c r="J5" s="9">
        <f>L5+P5</f>
        <v>27240123</v>
      </c>
      <c r="K5" s="9">
        <f>F5-J5</f>
        <v>16684922</v>
      </c>
      <c r="L5" s="9">
        <v>12409697</v>
      </c>
      <c r="M5" s="9">
        <v>9411267</v>
      </c>
      <c r="N5" s="9">
        <f>M5/3</f>
        <v>3137089</v>
      </c>
      <c r="O5" s="9">
        <v>7273655</v>
      </c>
      <c r="P5" s="9">
        <v>14830426</v>
      </c>
      <c r="Q5" s="9">
        <v>49516</v>
      </c>
      <c r="R5" s="9">
        <v>53338</v>
      </c>
      <c r="S5" s="41">
        <f>Q5/R5</f>
        <v>0.928343769920132</v>
      </c>
      <c r="T5" s="9">
        <f>Q5-R5</f>
        <v>-3822</v>
      </c>
      <c r="U5" s="68">
        <v>50225</v>
      </c>
      <c r="V5" s="72">
        <v>50694</v>
      </c>
      <c r="W5" s="13">
        <f>F5/Q5/12</f>
        <v>73.92399258152247</v>
      </c>
      <c r="X5" s="13">
        <f>L5/Q5/3</f>
        <v>83.5399803430541</v>
      </c>
      <c r="Y5" s="13">
        <f>M5/Q5/3</f>
        <v>63.355056951288475</v>
      </c>
      <c r="Z5" s="13">
        <f>O5/Q5/2</f>
        <v>73.44752201308668</v>
      </c>
      <c r="AA5" s="13">
        <f>P5/Q5/4</f>
        <v>74.87693876726715</v>
      </c>
      <c r="AB5" s="3">
        <f>Q5/(U5+V5)/2</f>
        <v>0.24532545903150052</v>
      </c>
      <c r="AC5" s="3">
        <f>AB5*X5</f>
        <v>20.494484025142278</v>
      </c>
    </row>
    <row r="6" spans="1:29" ht="21" customHeight="1">
      <c r="A6" s="3" t="s">
        <v>6</v>
      </c>
      <c r="B6" s="5">
        <v>10185</v>
      </c>
      <c r="C6" s="5">
        <v>9730</v>
      </c>
      <c r="D6" s="5">
        <v>13468</v>
      </c>
      <c r="E6" s="5">
        <f aca="true" t="shared" si="0" ref="E6:E24">C6-D6</f>
        <v>-3738</v>
      </c>
      <c r="F6" s="9">
        <v>20680832</v>
      </c>
      <c r="G6" s="41">
        <f aca="true" t="shared" si="1" ref="G6:G24">F6/H6</f>
        <v>0.8184853090172239</v>
      </c>
      <c r="H6" s="9">
        <f>25267.2*1000</f>
        <v>25267200</v>
      </c>
      <c r="I6" s="9">
        <f aca="true" t="shared" si="2" ref="I6:I24">F6-H6</f>
        <v>-4586368</v>
      </c>
      <c r="J6" s="9">
        <f aca="true" t="shared" si="3" ref="J6:J24">L6+P6</f>
        <v>12825792</v>
      </c>
      <c r="K6" s="9">
        <f aca="true" t="shared" si="4" ref="K6:K24">F6-J6</f>
        <v>7855040</v>
      </c>
      <c r="L6" s="9">
        <v>5844826</v>
      </c>
      <c r="M6" s="9">
        <v>4430074</v>
      </c>
      <c r="N6" s="9">
        <f aca="true" t="shared" si="5" ref="N6:N24">M6/3</f>
        <v>1476691.3333333333</v>
      </c>
      <c r="O6" s="9">
        <v>3424967</v>
      </c>
      <c r="P6" s="9">
        <v>6980966</v>
      </c>
      <c r="Q6" s="9">
        <v>35779</v>
      </c>
      <c r="R6" s="9">
        <v>49531</v>
      </c>
      <c r="S6" s="41">
        <f>Q6/R6</f>
        <v>0.7223556964325372</v>
      </c>
      <c r="T6" s="9">
        <f>Q6-R6</f>
        <v>-13752</v>
      </c>
      <c r="U6" s="68">
        <v>37108</v>
      </c>
      <c r="V6" s="72">
        <v>37792</v>
      </c>
      <c r="W6" s="13">
        <f aca="true" t="shared" si="6" ref="W6:W24">F6/Q6/12</f>
        <v>48.167994261065616</v>
      </c>
      <c r="X6" s="13">
        <f aca="true" t="shared" si="7" ref="X6:X24">L6/Q6/3</f>
        <v>54.45304042408489</v>
      </c>
      <c r="Y6" s="13">
        <f aca="true" t="shared" si="8" ref="Y6:Y24">M6/Q6/3</f>
        <v>41.272571433895116</v>
      </c>
      <c r="Z6" s="13">
        <f>O6/Q6/2</f>
        <v>47.86281058721597</v>
      </c>
      <c r="AA6" s="13">
        <f>P6/Q6/4</f>
        <v>48.7783755834428</v>
      </c>
      <c r="AB6" s="3">
        <f aca="true" t="shared" si="9" ref="AB6:AB24">Q6/(U6+V6)/2</f>
        <v>0.23884512683578105</v>
      </c>
      <c r="AC6" s="3">
        <f aca="true" t="shared" si="10" ref="AC6:AC24">W6*AB6</f>
        <v>11.50469069870939</v>
      </c>
    </row>
    <row r="7" spans="1:29" ht="21" customHeight="1">
      <c r="A7" s="3" t="s">
        <v>7</v>
      </c>
      <c r="B7" s="5">
        <v>25707</v>
      </c>
      <c r="C7" s="5">
        <v>25090</v>
      </c>
      <c r="D7" s="5">
        <v>33240</v>
      </c>
      <c r="E7" s="5">
        <f t="shared" si="0"/>
        <v>-8150</v>
      </c>
      <c r="F7" s="9">
        <v>48121263</v>
      </c>
      <c r="G7" s="41">
        <f t="shared" si="1"/>
        <v>1.0372750258665286</v>
      </c>
      <c r="H7" s="9">
        <f>46392*1000</f>
        <v>46392000</v>
      </c>
      <c r="I7" s="9">
        <f t="shared" si="2"/>
        <v>1729263</v>
      </c>
      <c r="J7" s="9">
        <f t="shared" si="3"/>
        <v>29844396</v>
      </c>
      <c r="K7" s="9">
        <f t="shared" si="4"/>
        <v>18276867</v>
      </c>
      <c r="L7" s="9">
        <v>13593724</v>
      </c>
      <c r="M7" s="9">
        <v>10309219</v>
      </c>
      <c r="N7" s="9">
        <f t="shared" si="5"/>
        <v>3436406.3333333335</v>
      </c>
      <c r="O7" s="9">
        <v>7967648</v>
      </c>
      <c r="P7" s="9">
        <v>16250672</v>
      </c>
      <c r="Q7" s="9">
        <v>75537</v>
      </c>
      <c r="R7" s="9">
        <v>95567</v>
      </c>
      <c r="S7" s="41">
        <f>Q7/R7</f>
        <v>0.7904088231293229</v>
      </c>
      <c r="T7" s="9">
        <f>Q7-R7</f>
        <v>-20030</v>
      </c>
      <c r="U7" s="68">
        <v>78085</v>
      </c>
      <c r="V7" s="72">
        <v>78830</v>
      </c>
      <c r="W7" s="13">
        <f t="shared" si="6"/>
        <v>53.08796020493268</v>
      </c>
      <c r="X7" s="13">
        <f t="shared" si="7"/>
        <v>59.987043876952136</v>
      </c>
      <c r="Y7" s="13">
        <f t="shared" si="8"/>
        <v>45.493021080177044</v>
      </c>
      <c r="Z7" s="13">
        <f aca="true" t="shared" si="11" ref="Z7:Z24">O7/Q7/2</f>
        <v>52.740034684988814</v>
      </c>
      <c r="AA7" s="13">
        <f aca="true" t="shared" si="12" ref="AA7:AA17">P7/Q7/4</f>
        <v>53.783814554456754</v>
      </c>
      <c r="AB7" s="3">
        <f t="shared" si="9"/>
        <v>0.24069400630914828</v>
      </c>
      <c r="AC7" s="3">
        <f t="shared" si="10"/>
        <v>12.77795382850588</v>
      </c>
    </row>
    <row r="8" spans="1:29" ht="21" customHeight="1">
      <c r="A8" s="3" t="s">
        <v>8</v>
      </c>
      <c r="B8" s="5">
        <v>24867</v>
      </c>
      <c r="C8" s="5">
        <v>23018</v>
      </c>
      <c r="D8" s="5">
        <v>34747</v>
      </c>
      <c r="E8" s="5">
        <f t="shared" si="0"/>
        <v>-11729</v>
      </c>
      <c r="F8" s="9">
        <v>50077685</v>
      </c>
      <c r="G8" s="41">
        <f t="shared" si="1"/>
        <v>0.733603539859308</v>
      </c>
      <c r="H8" s="9">
        <f>68262.6*1000</f>
        <v>68262600</v>
      </c>
      <c r="I8" s="9">
        <f t="shared" si="2"/>
        <v>-18184915</v>
      </c>
      <c r="J8" s="9">
        <f t="shared" si="3"/>
        <v>31066263</v>
      </c>
      <c r="K8" s="9">
        <f t="shared" si="4"/>
        <v>19011422</v>
      </c>
      <c r="L8" s="9">
        <v>14140821</v>
      </c>
      <c r="M8" s="9">
        <v>10723362</v>
      </c>
      <c r="N8" s="9">
        <f t="shared" si="5"/>
        <v>3574454</v>
      </c>
      <c r="O8" s="9">
        <v>8288061</v>
      </c>
      <c r="P8" s="9">
        <v>16925442</v>
      </c>
      <c r="Q8" s="9">
        <v>100758</v>
      </c>
      <c r="R8" s="149">
        <v>262372</v>
      </c>
      <c r="S8" s="152">
        <f>(Q8+Q9+Q10)/R8</f>
        <v>0.6171085329227204</v>
      </c>
      <c r="T8" s="149">
        <f>SUM(Q8:Q10)-R8</f>
        <v>-100460</v>
      </c>
      <c r="U8" s="68">
        <v>108945</v>
      </c>
      <c r="V8" s="72">
        <v>120577</v>
      </c>
      <c r="W8" s="13">
        <f t="shared" si="6"/>
        <v>41.417459821221804</v>
      </c>
      <c r="X8" s="13">
        <f t="shared" si="7"/>
        <v>46.781466484050895</v>
      </c>
      <c r="Y8" s="13">
        <f t="shared" si="8"/>
        <v>35.475634689056946</v>
      </c>
      <c r="Z8" s="13">
        <f t="shared" si="11"/>
        <v>41.12855058655392</v>
      </c>
      <c r="AA8" s="13">
        <f t="shared" si="12"/>
        <v>41.99528077175013</v>
      </c>
      <c r="AB8" s="3">
        <f t="shared" si="9"/>
        <v>0.2194952989255932</v>
      </c>
      <c r="AC8" s="3">
        <f t="shared" si="10"/>
        <v>9.090937724197826</v>
      </c>
    </row>
    <row r="9" spans="1:29" ht="22.5" customHeight="1">
      <c r="A9" s="3" t="s">
        <v>9</v>
      </c>
      <c r="B9" s="5">
        <v>12949</v>
      </c>
      <c r="C9" s="5">
        <v>12025</v>
      </c>
      <c r="D9" s="5">
        <v>20587</v>
      </c>
      <c r="E9" s="5">
        <f t="shared" si="0"/>
        <v>-8562</v>
      </c>
      <c r="F9" s="9">
        <v>26110062</v>
      </c>
      <c r="G9" s="41">
        <f t="shared" si="1"/>
        <v>0.6478827114236513</v>
      </c>
      <c r="H9" s="9">
        <f>40300.6*1000</f>
        <v>40300600</v>
      </c>
      <c r="I9" s="9">
        <f t="shared" si="2"/>
        <v>-14190538</v>
      </c>
      <c r="J9" s="9">
        <f t="shared" si="3"/>
        <v>16197083</v>
      </c>
      <c r="K9" s="9">
        <f t="shared" si="4"/>
        <v>9912979</v>
      </c>
      <c r="L9" s="9">
        <v>7376005</v>
      </c>
      <c r="M9" s="9">
        <v>5590733</v>
      </c>
      <c r="N9" s="9">
        <f t="shared" si="5"/>
        <v>1863577.6666666667</v>
      </c>
      <c r="O9" s="9">
        <v>4322246</v>
      </c>
      <c r="P9" s="9">
        <v>8821078</v>
      </c>
      <c r="Q9" s="9">
        <v>39485</v>
      </c>
      <c r="R9" s="150"/>
      <c r="S9" s="153"/>
      <c r="T9" s="150"/>
      <c r="U9" s="68">
        <v>41786</v>
      </c>
      <c r="V9" s="72">
        <v>43051</v>
      </c>
      <c r="W9" s="13">
        <f t="shared" si="6"/>
        <v>55.10544510573636</v>
      </c>
      <c r="X9" s="13">
        <f t="shared" si="7"/>
        <v>62.26841416571694</v>
      </c>
      <c r="Y9" s="13">
        <f t="shared" si="8"/>
        <v>47.19710438563167</v>
      </c>
      <c r="Z9" s="13">
        <f t="shared" si="11"/>
        <v>54.732759275674304</v>
      </c>
      <c r="AA9" s="13">
        <f t="shared" si="12"/>
        <v>55.85081676586045</v>
      </c>
      <c r="AB9" s="3">
        <f t="shared" si="9"/>
        <v>0.2327109633768285</v>
      </c>
      <c r="AC9" s="3">
        <f t="shared" si="10"/>
        <v>12.823641217864846</v>
      </c>
    </row>
    <row r="10" spans="1:29" ht="21" customHeight="1">
      <c r="A10" s="3" t="s">
        <v>10</v>
      </c>
      <c r="B10" s="5">
        <v>8493</v>
      </c>
      <c r="C10" s="5">
        <v>7894</v>
      </c>
      <c r="D10" s="5">
        <v>13489</v>
      </c>
      <c r="E10" s="5">
        <f t="shared" si="0"/>
        <v>-5595</v>
      </c>
      <c r="F10" s="9">
        <v>17950225</v>
      </c>
      <c r="G10" s="41">
        <f t="shared" si="1"/>
        <v>0.673779423522302</v>
      </c>
      <c r="H10" s="9">
        <f>26641.1*1000</f>
        <v>26641100</v>
      </c>
      <c r="I10" s="9">
        <f t="shared" si="2"/>
        <v>-8690875</v>
      </c>
      <c r="J10" s="9">
        <f t="shared" si="3"/>
        <v>11140328</v>
      </c>
      <c r="K10" s="9">
        <f t="shared" si="4"/>
        <v>6809897</v>
      </c>
      <c r="L10" s="9">
        <v>5064002</v>
      </c>
      <c r="M10" s="9">
        <v>3841423</v>
      </c>
      <c r="N10" s="9">
        <f t="shared" si="5"/>
        <v>1280474.3333333333</v>
      </c>
      <c r="O10" s="9">
        <v>2968475</v>
      </c>
      <c r="P10" s="9">
        <v>6076326</v>
      </c>
      <c r="Q10" s="9">
        <v>21669</v>
      </c>
      <c r="R10" s="151"/>
      <c r="S10" s="154"/>
      <c r="T10" s="151"/>
      <c r="U10" s="9">
        <v>23262</v>
      </c>
      <c r="V10" s="9">
        <v>24033</v>
      </c>
      <c r="W10" s="13">
        <f t="shared" si="6"/>
        <v>69.03189271924562</v>
      </c>
      <c r="X10" s="13">
        <f t="shared" si="7"/>
        <v>77.89933391788577</v>
      </c>
      <c r="Y10" s="13">
        <f t="shared" si="8"/>
        <v>59.09245158213731</v>
      </c>
      <c r="Z10" s="13">
        <f t="shared" si="11"/>
        <v>68.49589275001154</v>
      </c>
      <c r="AA10" s="13">
        <f t="shared" si="12"/>
        <v>70.10390419493285</v>
      </c>
      <c r="AB10" s="3">
        <f t="shared" si="9"/>
        <v>0.22908341262289883</v>
      </c>
      <c r="AC10" s="3">
        <f t="shared" si="10"/>
        <v>15.81406156394263</v>
      </c>
    </row>
    <row r="11" spans="1:29" ht="30.75" customHeight="1">
      <c r="A11" s="7" t="s">
        <v>11</v>
      </c>
      <c r="B11" s="4">
        <v>46666</v>
      </c>
      <c r="C11" s="4">
        <v>45027</v>
      </c>
      <c r="D11" s="4">
        <v>59625</v>
      </c>
      <c r="E11" s="5">
        <f t="shared" si="0"/>
        <v>-14598</v>
      </c>
      <c r="F11" s="9">
        <v>97132082</v>
      </c>
      <c r="G11" s="41">
        <f t="shared" si="1"/>
        <v>0.8481936386404043</v>
      </c>
      <c r="H11" s="9">
        <f>114516.4*1000</f>
        <v>114516400</v>
      </c>
      <c r="I11" s="9">
        <f t="shared" si="2"/>
        <v>-17384318</v>
      </c>
      <c r="J11" s="9">
        <f t="shared" si="3"/>
        <v>60254039</v>
      </c>
      <c r="K11" s="9">
        <f t="shared" si="4"/>
        <v>36878043</v>
      </c>
      <c r="L11" s="9">
        <v>27433083</v>
      </c>
      <c r="M11" s="9">
        <v>20800261</v>
      </c>
      <c r="N11" s="9">
        <f t="shared" si="5"/>
        <v>6933420.333333333</v>
      </c>
      <c r="O11" s="9">
        <v>16077782</v>
      </c>
      <c r="P11" s="9">
        <v>32820956</v>
      </c>
      <c r="Q11" s="9">
        <v>153786</v>
      </c>
      <c r="R11" s="9">
        <v>201640</v>
      </c>
      <c r="S11" s="41">
        <f>Q11/R11</f>
        <v>0.7626760563380282</v>
      </c>
      <c r="T11" s="9">
        <f>Q11-R11</f>
        <v>-47854</v>
      </c>
      <c r="U11" s="9">
        <v>158388</v>
      </c>
      <c r="V11" s="9">
        <v>160353</v>
      </c>
      <c r="W11" s="13">
        <f t="shared" si="6"/>
        <v>52.633790895573505</v>
      </c>
      <c r="X11" s="13">
        <f t="shared" si="7"/>
        <v>59.46159598402975</v>
      </c>
      <c r="Y11" s="13">
        <f t="shared" si="8"/>
        <v>45.08486034706237</v>
      </c>
      <c r="Z11" s="13">
        <f t="shared" si="11"/>
        <v>52.273230333060226</v>
      </c>
      <c r="AA11" s="13">
        <f t="shared" si="12"/>
        <v>53.3549152718713</v>
      </c>
      <c r="AB11" s="3">
        <f t="shared" si="9"/>
        <v>0.24123975265183958</v>
      </c>
      <c r="AC11" s="3">
        <f t="shared" si="10"/>
        <v>12.697362696776798</v>
      </c>
    </row>
    <row r="12" spans="1:29" ht="21" customHeight="1">
      <c r="A12" s="3" t="s">
        <v>12</v>
      </c>
      <c r="B12" s="5">
        <v>47090</v>
      </c>
      <c r="C12" s="5">
        <v>44971</v>
      </c>
      <c r="D12" s="5">
        <v>57240</v>
      </c>
      <c r="E12" s="5">
        <f t="shared" si="0"/>
        <v>-12269</v>
      </c>
      <c r="F12" s="9">
        <v>87194141</v>
      </c>
      <c r="G12" s="41">
        <f t="shared" si="1"/>
        <v>1.0696029690836983</v>
      </c>
      <c r="H12" s="9">
        <f>81520.1*1000</f>
        <v>81520100</v>
      </c>
      <c r="I12" s="9">
        <f t="shared" si="2"/>
        <v>5674041</v>
      </c>
      <c r="J12" s="9">
        <f t="shared" si="3"/>
        <v>54088927</v>
      </c>
      <c r="K12" s="9">
        <f t="shared" si="4"/>
        <v>33105214</v>
      </c>
      <c r="L12" s="9">
        <v>24626158</v>
      </c>
      <c r="M12" s="9">
        <v>18672370</v>
      </c>
      <c r="N12" s="9">
        <f t="shared" si="5"/>
        <v>6224123.333333333</v>
      </c>
      <c r="O12" s="9">
        <v>14432843</v>
      </c>
      <c r="P12" s="9">
        <v>29462769</v>
      </c>
      <c r="Q12" s="9">
        <v>172456</v>
      </c>
      <c r="R12" s="9">
        <v>231709</v>
      </c>
      <c r="S12" s="41">
        <f aca="true" t="shared" si="13" ref="S12:S24">Q12/R12</f>
        <v>0.7442783836622661</v>
      </c>
      <c r="T12" s="9">
        <f aca="true" t="shared" si="14" ref="T12:T24">Q12-R12</f>
        <v>-59253</v>
      </c>
      <c r="U12" s="9">
        <v>182799</v>
      </c>
      <c r="V12" s="9">
        <v>186347</v>
      </c>
      <c r="W12" s="13">
        <f t="shared" si="6"/>
        <v>42.13352053084072</v>
      </c>
      <c r="X12" s="13">
        <f t="shared" si="7"/>
        <v>47.598919917737476</v>
      </c>
      <c r="Y12" s="13">
        <f t="shared" si="8"/>
        <v>36.091080236891344</v>
      </c>
      <c r="Z12" s="13">
        <f t="shared" si="11"/>
        <v>41.84500104374449</v>
      </c>
      <c r="AA12" s="13">
        <f t="shared" si="12"/>
        <v>42.71055950503317</v>
      </c>
      <c r="AB12" s="3">
        <f t="shared" si="9"/>
        <v>0.2335877945311611</v>
      </c>
      <c r="AC12" s="3">
        <f t="shared" si="10"/>
        <v>9.84187613663248</v>
      </c>
    </row>
    <row r="13" spans="1:29" ht="30.75" customHeight="1">
      <c r="A13" s="7" t="s">
        <v>13</v>
      </c>
      <c r="B13" s="4">
        <v>23792</v>
      </c>
      <c r="C13" s="4">
        <v>23635</v>
      </c>
      <c r="D13" s="4">
        <v>26424</v>
      </c>
      <c r="E13" s="5">
        <f t="shared" si="0"/>
        <v>-2789</v>
      </c>
      <c r="F13" s="9">
        <v>52438026</v>
      </c>
      <c r="G13" s="41">
        <f t="shared" si="1"/>
        <v>1.033880906000836</v>
      </c>
      <c r="H13" s="9">
        <f>50719.6*1000</f>
        <v>50719600</v>
      </c>
      <c r="I13" s="9">
        <f t="shared" si="2"/>
        <v>1718426</v>
      </c>
      <c r="J13" s="9">
        <f t="shared" si="3"/>
        <v>32541944</v>
      </c>
      <c r="K13" s="9">
        <f t="shared" si="4"/>
        <v>19896082</v>
      </c>
      <c r="L13" s="9">
        <v>14801974</v>
      </c>
      <c r="M13" s="9">
        <v>11223680</v>
      </c>
      <c r="N13" s="9">
        <f t="shared" si="5"/>
        <v>3741226.6666666665</v>
      </c>
      <c r="O13" s="9">
        <v>8674514</v>
      </c>
      <c r="P13" s="9">
        <v>17739970</v>
      </c>
      <c r="Q13" s="9">
        <v>74817</v>
      </c>
      <c r="R13" s="9">
        <v>77840</v>
      </c>
      <c r="S13" s="41">
        <f t="shared" si="13"/>
        <v>0.9611639260020555</v>
      </c>
      <c r="T13" s="9">
        <f t="shared" si="14"/>
        <v>-3023</v>
      </c>
      <c r="U13" s="9">
        <v>76769</v>
      </c>
      <c r="V13" s="9">
        <v>77877</v>
      </c>
      <c r="W13" s="13">
        <f t="shared" si="6"/>
        <v>58.40698638010078</v>
      </c>
      <c r="X13" s="13">
        <f t="shared" si="7"/>
        <v>65.94746292063746</v>
      </c>
      <c r="Y13" s="13">
        <f t="shared" si="8"/>
        <v>50.00503450641788</v>
      </c>
      <c r="Z13" s="13">
        <f t="shared" si="11"/>
        <v>57.971543900450435</v>
      </c>
      <c r="AA13" s="13">
        <f t="shared" si="12"/>
        <v>59.27787133940147</v>
      </c>
      <c r="AB13" s="3">
        <f t="shared" si="9"/>
        <v>0.24189762425151637</v>
      </c>
      <c r="AC13" s="3">
        <f t="shared" si="10"/>
        <v>14.128511245037053</v>
      </c>
    </row>
    <row r="14" spans="1:29" ht="21" customHeight="1">
      <c r="A14" s="3" t="s">
        <v>14</v>
      </c>
      <c r="B14" s="5">
        <v>19321</v>
      </c>
      <c r="C14" s="5">
        <v>19223</v>
      </c>
      <c r="D14" s="5">
        <v>20827</v>
      </c>
      <c r="E14" s="5">
        <f t="shared" si="0"/>
        <v>-1604</v>
      </c>
      <c r="F14" s="9">
        <v>42198877</v>
      </c>
      <c r="G14" s="41">
        <f t="shared" si="1"/>
        <v>1.0566202525940467</v>
      </c>
      <c r="H14" s="9">
        <f>39937.6*1000</f>
        <v>39937600</v>
      </c>
      <c r="I14" s="9">
        <f t="shared" si="2"/>
        <v>2261277</v>
      </c>
      <c r="J14" s="9">
        <f t="shared" si="3"/>
        <v>26181178</v>
      </c>
      <c r="K14" s="9">
        <f t="shared" si="4"/>
        <v>16017699</v>
      </c>
      <c r="L14" s="9">
        <v>11911916</v>
      </c>
      <c r="M14" s="9">
        <v>9035296</v>
      </c>
      <c r="N14" s="9">
        <f t="shared" si="5"/>
        <v>3011765.3333333335</v>
      </c>
      <c r="O14" s="9">
        <v>6982404</v>
      </c>
      <c r="P14" s="9">
        <v>14269262</v>
      </c>
      <c r="Q14" s="9">
        <v>61925</v>
      </c>
      <c r="R14" s="9">
        <v>64278</v>
      </c>
      <c r="S14" s="41">
        <f t="shared" si="13"/>
        <v>0.9633933849839759</v>
      </c>
      <c r="T14" s="9">
        <f t="shared" si="14"/>
        <v>-2353</v>
      </c>
      <c r="U14" s="9">
        <v>64331</v>
      </c>
      <c r="V14" s="9">
        <v>65138</v>
      </c>
      <c r="W14" s="13">
        <f t="shared" si="6"/>
        <v>56.78761539496703</v>
      </c>
      <c r="X14" s="13">
        <f t="shared" si="7"/>
        <v>64.12012380567892</v>
      </c>
      <c r="Y14" s="13">
        <f t="shared" si="8"/>
        <v>48.635693715516084</v>
      </c>
      <c r="Z14" s="13">
        <f t="shared" si="11"/>
        <v>56.3779087605975</v>
      </c>
      <c r="AA14" s="13">
        <f t="shared" si="12"/>
        <v>57.6070327008478</v>
      </c>
      <c r="AB14" s="3">
        <f t="shared" si="9"/>
        <v>0.23914991233422672</v>
      </c>
      <c r="AC14" s="3">
        <f t="shared" si="10"/>
        <v>13.580753243376149</v>
      </c>
    </row>
    <row r="15" spans="1:29" ht="21" customHeight="1">
      <c r="A15" s="3" t="s">
        <v>15</v>
      </c>
      <c r="B15" s="5">
        <v>24294</v>
      </c>
      <c r="C15" s="5">
        <v>23410</v>
      </c>
      <c r="D15" s="5">
        <v>36100</v>
      </c>
      <c r="E15" s="5">
        <f>C15-D15</f>
        <v>-12690</v>
      </c>
      <c r="F15" s="9">
        <v>45371720</v>
      </c>
      <c r="G15" s="41">
        <f t="shared" si="1"/>
        <v>0.8011647084167665</v>
      </c>
      <c r="H15" s="9">
        <f>56632.2*1000</f>
        <v>56632200</v>
      </c>
      <c r="I15" s="9">
        <f t="shared" si="2"/>
        <v>-11260480</v>
      </c>
      <c r="J15" s="9">
        <f t="shared" si="3"/>
        <v>28144414</v>
      </c>
      <c r="K15" s="9">
        <f t="shared" si="4"/>
        <v>17227306</v>
      </c>
      <c r="L15" s="9">
        <v>12815626</v>
      </c>
      <c r="M15" s="9">
        <v>9716572</v>
      </c>
      <c r="N15" s="9">
        <f t="shared" si="5"/>
        <v>3238857.3333333335</v>
      </c>
      <c r="O15" s="9">
        <v>7510733</v>
      </c>
      <c r="P15" s="9">
        <v>15328788</v>
      </c>
      <c r="Q15" s="9">
        <v>75103</v>
      </c>
      <c r="R15" s="9">
        <v>101380</v>
      </c>
      <c r="S15" s="41">
        <f t="shared" si="13"/>
        <v>0.74080686525942</v>
      </c>
      <c r="T15" s="9">
        <f t="shared" si="14"/>
        <v>-26277</v>
      </c>
      <c r="U15" s="9">
        <v>79264</v>
      </c>
      <c r="V15" s="9">
        <v>81057</v>
      </c>
      <c r="W15" s="13">
        <f t="shared" si="6"/>
        <v>50.343883289171764</v>
      </c>
      <c r="X15" s="13">
        <f t="shared" si="7"/>
        <v>56.88022227252352</v>
      </c>
      <c r="Y15" s="13">
        <f t="shared" si="8"/>
        <v>43.12553870462343</v>
      </c>
      <c r="Z15" s="13">
        <f t="shared" si="11"/>
        <v>50.00288270774803</v>
      </c>
      <c r="AA15" s="13">
        <f t="shared" si="12"/>
        <v>51.02588445201923</v>
      </c>
      <c r="AB15" s="3">
        <f t="shared" si="9"/>
        <v>0.23422695716718334</v>
      </c>
      <c r="AC15" s="3">
        <f t="shared" si="10"/>
        <v>11.791894594802512</v>
      </c>
    </row>
    <row r="16" spans="1:29" ht="27" customHeight="1">
      <c r="A16" s="7" t="s">
        <v>16</v>
      </c>
      <c r="B16" s="4">
        <v>11522</v>
      </c>
      <c r="C16" s="4">
        <v>11402</v>
      </c>
      <c r="D16" s="4">
        <v>12000</v>
      </c>
      <c r="E16" s="5">
        <f t="shared" si="0"/>
        <v>-598</v>
      </c>
      <c r="F16" s="9">
        <v>24234629</v>
      </c>
      <c r="G16" s="41">
        <f t="shared" si="1"/>
        <v>1.2215835210976527</v>
      </c>
      <c r="H16" s="9">
        <f>19838.7*1000</f>
        <v>19838700</v>
      </c>
      <c r="I16" s="9">
        <f t="shared" si="2"/>
        <v>4395929</v>
      </c>
      <c r="J16" s="9">
        <f t="shared" si="3"/>
        <v>15028888</v>
      </c>
      <c r="K16" s="9">
        <f t="shared" si="4"/>
        <v>9205741</v>
      </c>
      <c r="L16" s="9">
        <v>6847822</v>
      </c>
      <c r="M16" s="9">
        <v>5192351</v>
      </c>
      <c r="N16" s="9">
        <f t="shared" si="5"/>
        <v>1730783.6666666667</v>
      </c>
      <c r="O16" s="9">
        <v>4013391</v>
      </c>
      <c r="P16" s="9">
        <v>8181066</v>
      </c>
      <c r="Q16" s="9">
        <v>27407</v>
      </c>
      <c r="R16" s="9">
        <v>30733</v>
      </c>
      <c r="S16" s="41">
        <f t="shared" si="13"/>
        <v>0.8917775680864217</v>
      </c>
      <c r="T16" s="9">
        <f t="shared" si="14"/>
        <v>-3326</v>
      </c>
      <c r="U16" s="9">
        <v>28449</v>
      </c>
      <c r="V16" s="9">
        <v>28919</v>
      </c>
      <c r="W16" s="13">
        <f t="shared" si="6"/>
        <v>73.68746731370331</v>
      </c>
      <c r="X16" s="13">
        <f t="shared" si="7"/>
        <v>83.28555965021101</v>
      </c>
      <c r="Y16" s="13">
        <f t="shared" si="8"/>
        <v>63.151153598229165</v>
      </c>
      <c r="Z16" s="13">
        <f t="shared" si="11"/>
        <v>73.21835662422009</v>
      </c>
      <c r="AA16" s="13">
        <f t="shared" si="12"/>
        <v>74.62569781442697</v>
      </c>
      <c r="AB16" s="3">
        <f t="shared" si="9"/>
        <v>0.2388701017989123</v>
      </c>
      <c r="AC16" s="3">
        <f t="shared" si="10"/>
        <v>17.601732818528333</v>
      </c>
    </row>
    <row r="17" spans="1:29" ht="42" customHeight="1">
      <c r="A17" s="7" t="s">
        <v>18</v>
      </c>
      <c r="B17" s="4">
        <v>16285</v>
      </c>
      <c r="C17" s="4">
        <v>15677</v>
      </c>
      <c r="D17" s="4">
        <v>20600</v>
      </c>
      <c r="E17" s="5">
        <f t="shared" si="0"/>
        <v>-4923</v>
      </c>
      <c r="F17" s="9">
        <v>33321126</v>
      </c>
      <c r="G17" s="41">
        <f t="shared" si="1"/>
        <v>0.8557328827105168</v>
      </c>
      <c r="H17" s="9">
        <f>38938.7*1000</f>
        <v>38938700</v>
      </c>
      <c r="I17" s="9">
        <f t="shared" si="2"/>
        <v>-5617574</v>
      </c>
      <c r="J17" s="9">
        <f t="shared" si="3"/>
        <v>20667190</v>
      </c>
      <c r="K17" s="9">
        <f t="shared" si="4"/>
        <v>12653936</v>
      </c>
      <c r="L17" s="9">
        <v>9413379</v>
      </c>
      <c r="M17" s="9">
        <v>7137107</v>
      </c>
      <c r="N17" s="9">
        <f t="shared" si="5"/>
        <v>2379035.6666666665</v>
      </c>
      <c r="O17" s="9">
        <v>5516829</v>
      </c>
      <c r="P17" s="9">
        <v>11253811</v>
      </c>
      <c r="Q17" s="9">
        <v>50841</v>
      </c>
      <c r="R17" s="9">
        <v>70971</v>
      </c>
      <c r="S17" s="41">
        <f t="shared" si="13"/>
        <v>0.7163630215158304</v>
      </c>
      <c r="T17" s="9">
        <f t="shared" si="14"/>
        <v>-20130</v>
      </c>
      <c r="U17" s="9">
        <v>50661</v>
      </c>
      <c r="V17" s="9">
        <v>51786</v>
      </c>
      <c r="W17" s="13">
        <f t="shared" si="6"/>
        <v>54.61655946971933</v>
      </c>
      <c r="X17" s="13">
        <f t="shared" si="7"/>
        <v>61.71776715642886</v>
      </c>
      <c r="Y17" s="13">
        <f t="shared" si="8"/>
        <v>46.793644237262576</v>
      </c>
      <c r="Z17" s="13">
        <f t="shared" si="11"/>
        <v>54.25570897503983</v>
      </c>
      <c r="AA17" s="13">
        <f t="shared" si="12"/>
        <v>55.33826537636946</v>
      </c>
      <c r="AB17" s="3">
        <f t="shared" si="9"/>
        <v>0.24813318105947466</v>
      </c>
      <c r="AC17" s="3">
        <f t="shared" si="10"/>
        <v>13.552180639745432</v>
      </c>
    </row>
    <row r="18" spans="1:29" ht="21" customHeight="1">
      <c r="A18" s="3" t="s">
        <v>17</v>
      </c>
      <c r="B18" s="5">
        <v>19391</v>
      </c>
      <c r="C18" s="5">
        <v>18947</v>
      </c>
      <c r="D18" s="5">
        <v>19000</v>
      </c>
      <c r="E18" s="5">
        <f t="shared" si="0"/>
        <v>-53</v>
      </c>
      <c r="F18" s="9">
        <v>36596820</v>
      </c>
      <c r="G18" s="41">
        <f t="shared" si="1"/>
        <v>1.0133244359778046</v>
      </c>
      <c r="H18" s="9">
        <f>36115.6*1000</f>
        <v>36115600</v>
      </c>
      <c r="I18" s="9">
        <f t="shared" si="2"/>
        <v>481220</v>
      </c>
      <c r="J18" s="9">
        <f t="shared" si="3"/>
        <v>22701592</v>
      </c>
      <c r="K18" s="9">
        <f>F18-J18</f>
        <v>13895228</v>
      </c>
      <c r="L18" s="9">
        <v>10338521</v>
      </c>
      <c r="M18" s="9">
        <v>7836791</v>
      </c>
      <c r="N18" s="9">
        <f t="shared" si="5"/>
        <v>2612263.6666666665</v>
      </c>
      <c r="O18" s="9">
        <v>6058438</v>
      </c>
      <c r="P18" s="9">
        <v>12363071</v>
      </c>
      <c r="Q18" s="9">
        <v>63746</v>
      </c>
      <c r="R18" s="9">
        <v>77339</v>
      </c>
      <c r="S18" s="41">
        <f t="shared" si="13"/>
        <v>0.8242413271441317</v>
      </c>
      <c r="T18" s="9">
        <f>Q18-R18</f>
        <v>-13593</v>
      </c>
      <c r="U18" s="9">
        <v>65768</v>
      </c>
      <c r="V18" s="9">
        <v>66856</v>
      </c>
      <c r="W18" s="13">
        <f t="shared" si="6"/>
        <v>47.84198224202303</v>
      </c>
      <c r="X18" s="13">
        <f t="shared" si="7"/>
        <v>54.06101820767839</v>
      </c>
      <c r="Y18" s="13">
        <f t="shared" si="8"/>
        <v>40.97925621476903</v>
      </c>
      <c r="Z18" s="13">
        <f t="shared" si="11"/>
        <v>47.52014244030998</v>
      </c>
      <c r="AA18" s="13">
        <f aca="true" t="shared" si="15" ref="AA18:AA24">P18/Q18/4</f>
        <v>48.48567361089323</v>
      </c>
      <c r="AB18" s="3">
        <f t="shared" si="9"/>
        <v>0.24032603450355894</v>
      </c>
      <c r="AC18" s="3">
        <f t="shared" si="10"/>
        <v>11.49767387501508</v>
      </c>
    </row>
    <row r="19" spans="1:29" ht="21" customHeight="1">
      <c r="A19" s="3" t="s">
        <v>19</v>
      </c>
      <c r="B19" s="5">
        <v>13487</v>
      </c>
      <c r="C19" s="5">
        <v>13407</v>
      </c>
      <c r="D19" s="5">
        <v>15500</v>
      </c>
      <c r="E19" s="5">
        <f t="shared" si="0"/>
        <v>-2093</v>
      </c>
      <c r="F19" s="9">
        <v>28496238</v>
      </c>
      <c r="G19" s="41">
        <f t="shared" si="1"/>
        <v>0.9799458723357428</v>
      </c>
      <c r="H19" s="9">
        <f>29079.4*1000</f>
        <v>29079400</v>
      </c>
      <c r="I19" s="9">
        <f t="shared" si="2"/>
        <v>-583162</v>
      </c>
      <c r="J19" s="9">
        <f t="shared" si="3"/>
        <v>17673033</v>
      </c>
      <c r="K19" s="9">
        <f t="shared" si="4"/>
        <v>10823205</v>
      </c>
      <c r="L19" s="9">
        <v>8051416</v>
      </c>
      <c r="M19" s="9">
        <v>6104549</v>
      </c>
      <c r="N19" s="9">
        <f t="shared" si="5"/>
        <v>2034849.6666666667</v>
      </c>
      <c r="O19" s="9">
        <v>4718655</v>
      </c>
      <c r="P19" s="9">
        <v>9621617</v>
      </c>
      <c r="Q19" s="9">
        <v>28818</v>
      </c>
      <c r="R19" s="9">
        <v>31707</v>
      </c>
      <c r="S19" s="41">
        <f t="shared" si="13"/>
        <v>0.9088844734601192</v>
      </c>
      <c r="T19" s="9">
        <f t="shared" si="14"/>
        <v>-2889</v>
      </c>
      <c r="U19" s="9">
        <v>29413</v>
      </c>
      <c r="V19" s="9">
        <v>29891</v>
      </c>
      <c r="W19" s="13">
        <f t="shared" si="6"/>
        <v>82.40289055451454</v>
      </c>
      <c r="X19" s="13">
        <f t="shared" si="7"/>
        <v>93.12947926064727</v>
      </c>
      <c r="Y19" s="13">
        <f>M19/Q19/3</f>
        <v>70.61037083304416</v>
      </c>
      <c r="Z19" s="13">
        <f t="shared" si="11"/>
        <v>81.86992504684572</v>
      </c>
      <c r="AA19" s="13">
        <f t="shared" si="15"/>
        <v>83.46881289471858</v>
      </c>
      <c r="AB19" s="3">
        <f t="shared" si="9"/>
        <v>0.2429684338324565</v>
      </c>
      <c r="AC19" s="3">
        <f t="shared" si="10"/>
        <v>20.021301261297722</v>
      </c>
    </row>
    <row r="20" spans="1:29" ht="21" customHeight="1">
      <c r="A20" s="3" t="s">
        <v>24</v>
      </c>
      <c r="B20" s="5">
        <v>16104</v>
      </c>
      <c r="C20" s="5">
        <v>15666</v>
      </c>
      <c r="D20" s="5">
        <v>18570</v>
      </c>
      <c r="E20" s="5">
        <f t="shared" si="0"/>
        <v>-2904</v>
      </c>
      <c r="F20" s="9">
        <v>33297662</v>
      </c>
      <c r="G20" s="41">
        <f t="shared" si="1"/>
        <v>1.084603798659948</v>
      </c>
      <c r="H20" s="9">
        <f>30700.3*1000</f>
        <v>30700300</v>
      </c>
      <c r="I20" s="9">
        <f t="shared" si="2"/>
        <v>2597362</v>
      </c>
      <c r="J20" s="9">
        <f t="shared" si="3"/>
        <v>18566421</v>
      </c>
      <c r="K20" s="9">
        <f t="shared" si="4"/>
        <v>14731241</v>
      </c>
      <c r="L20" s="9">
        <v>8459315</v>
      </c>
      <c r="M20" s="9">
        <v>6412829</v>
      </c>
      <c r="N20" s="9">
        <f t="shared" si="5"/>
        <v>2137609.6666666665</v>
      </c>
      <c r="O20" s="9">
        <v>4957381</v>
      </c>
      <c r="P20" s="9">
        <v>10107106</v>
      </c>
      <c r="Q20" s="9">
        <v>48830</v>
      </c>
      <c r="R20" s="9">
        <v>61838</v>
      </c>
      <c r="S20" s="41">
        <f t="shared" si="13"/>
        <v>0.7896439082764644</v>
      </c>
      <c r="T20" s="9">
        <f t="shared" si="14"/>
        <v>-13008</v>
      </c>
      <c r="U20" s="9">
        <v>50199</v>
      </c>
      <c r="V20" s="9">
        <v>51175</v>
      </c>
      <c r="W20" s="13">
        <f t="shared" si="6"/>
        <v>56.82582770154959</v>
      </c>
      <c r="X20" s="13">
        <f t="shared" si="7"/>
        <v>57.74670625981295</v>
      </c>
      <c r="Y20" s="13">
        <f t="shared" si="8"/>
        <v>43.77656495323913</v>
      </c>
      <c r="Z20" s="13">
        <f t="shared" si="11"/>
        <v>50.76163219332378</v>
      </c>
      <c r="AA20" s="13">
        <f t="shared" si="15"/>
        <v>51.74639565840672</v>
      </c>
      <c r="AB20" s="3">
        <f>Q20/(U20+V20)/2</f>
        <v>0.24084084676544282</v>
      </c>
      <c r="AC20" s="3">
        <f t="shared" si="10"/>
        <v>13.685980461788361</v>
      </c>
    </row>
    <row r="21" spans="1:29" ht="21" customHeight="1">
      <c r="A21" s="3" t="s">
        <v>20</v>
      </c>
      <c r="B21" s="5">
        <v>12764</v>
      </c>
      <c r="C21" s="5">
        <v>12616</v>
      </c>
      <c r="D21" s="5">
        <v>15000</v>
      </c>
      <c r="E21" s="5">
        <f t="shared" si="0"/>
        <v>-2384</v>
      </c>
      <c r="F21" s="9">
        <v>24298899</v>
      </c>
      <c r="G21" s="41">
        <f t="shared" si="1"/>
        <v>1.1036927234738372</v>
      </c>
      <c r="H21" s="9">
        <f>22016*1000</f>
        <v>22016000</v>
      </c>
      <c r="I21" s="9">
        <f>F21-H21</f>
        <v>2282899</v>
      </c>
      <c r="J21" s="9">
        <f t="shared" si="3"/>
        <v>15072654</v>
      </c>
      <c r="K21" s="9">
        <f t="shared" si="4"/>
        <v>9226245</v>
      </c>
      <c r="L21" s="9">
        <v>6864166</v>
      </c>
      <c r="M21" s="9">
        <v>5203641</v>
      </c>
      <c r="N21" s="9">
        <f t="shared" si="5"/>
        <v>1734547</v>
      </c>
      <c r="O21" s="9">
        <v>4022603</v>
      </c>
      <c r="P21" s="9">
        <v>8208488</v>
      </c>
      <c r="Q21" s="9">
        <v>38797</v>
      </c>
      <c r="R21" s="9">
        <v>43553</v>
      </c>
      <c r="S21" s="41">
        <f t="shared" si="13"/>
        <v>0.8907997152894175</v>
      </c>
      <c r="T21" s="9">
        <f t="shared" si="14"/>
        <v>-4756</v>
      </c>
      <c r="U21" s="9">
        <v>39072</v>
      </c>
      <c r="V21" s="9">
        <v>39766</v>
      </c>
      <c r="W21" s="13">
        <f t="shared" si="6"/>
        <v>52.192392453024716</v>
      </c>
      <c r="X21" s="13">
        <f t="shared" si="7"/>
        <v>58.97505820896805</v>
      </c>
      <c r="Y21" s="13">
        <f t="shared" si="8"/>
        <v>44.70827641312473</v>
      </c>
      <c r="Z21" s="13">
        <f t="shared" si="11"/>
        <v>51.84167590277599</v>
      </c>
      <c r="AA21" s="13">
        <f t="shared" si="15"/>
        <v>52.89383199731938</v>
      </c>
      <c r="AB21" s="3">
        <f t="shared" si="9"/>
        <v>0.24605520180623558</v>
      </c>
      <c r="AC21" s="3">
        <f>W21*AB21</f>
        <v>12.842209657779243</v>
      </c>
    </row>
    <row r="22" spans="1:29" ht="30" customHeight="1">
      <c r="A22" s="7" t="s">
        <v>21</v>
      </c>
      <c r="B22" s="4">
        <v>18097</v>
      </c>
      <c r="C22" s="4">
        <v>17795</v>
      </c>
      <c r="D22" s="4"/>
      <c r="E22" s="5">
        <f t="shared" si="0"/>
        <v>17795</v>
      </c>
      <c r="F22" s="9">
        <v>35156365</v>
      </c>
      <c r="G22" s="41"/>
      <c r="H22" s="9">
        <v>0</v>
      </c>
      <c r="I22" s="9">
        <f t="shared" si="2"/>
        <v>35156365</v>
      </c>
      <c r="J22" s="9">
        <f t="shared" si="3"/>
        <v>21813935</v>
      </c>
      <c r="K22" s="9">
        <f t="shared" si="4"/>
        <v>13342430</v>
      </c>
      <c r="L22" s="9">
        <v>9925998</v>
      </c>
      <c r="M22" s="9">
        <v>7525323</v>
      </c>
      <c r="N22" s="9">
        <f t="shared" si="5"/>
        <v>2508441</v>
      </c>
      <c r="O22" s="9">
        <v>5817107</v>
      </c>
      <c r="P22" s="9">
        <v>11887937</v>
      </c>
      <c r="Q22" s="9">
        <v>58026</v>
      </c>
      <c r="R22" s="9">
        <v>58026</v>
      </c>
      <c r="S22" s="41">
        <f t="shared" si="13"/>
        <v>1</v>
      </c>
      <c r="T22" s="9">
        <f t="shared" si="14"/>
        <v>0</v>
      </c>
      <c r="U22" s="9">
        <v>61319</v>
      </c>
      <c r="V22" s="9">
        <v>62820</v>
      </c>
      <c r="W22" s="13">
        <f t="shared" si="6"/>
        <v>50.489385505348174</v>
      </c>
      <c r="X22" s="13">
        <f t="shared" si="7"/>
        <v>57.02040464619309</v>
      </c>
      <c r="Y22" s="13">
        <f t="shared" si="8"/>
        <v>43.22960397063385</v>
      </c>
      <c r="Z22" s="13">
        <f t="shared" si="11"/>
        <v>50.12500430841347</v>
      </c>
      <c r="AA22" s="13">
        <f t="shared" si="15"/>
        <v>51.21814789921759</v>
      </c>
      <c r="AB22" s="3">
        <f t="shared" si="9"/>
        <v>0.23371382079765424</v>
      </c>
      <c r="AC22" s="3">
        <f t="shared" si="10"/>
        <v>11.800067196180624</v>
      </c>
    </row>
    <row r="23" spans="1:29" ht="21" customHeight="1">
      <c r="A23" s="8" t="s">
        <v>22</v>
      </c>
      <c r="B23" s="14">
        <v>25592</v>
      </c>
      <c r="C23" s="14">
        <v>25436</v>
      </c>
      <c r="D23" s="14">
        <v>26062</v>
      </c>
      <c r="E23" s="5">
        <f t="shared" si="0"/>
        <v>-626</v>
      </c>
      <c r="F23" s="9">
        <v>49832336</v>
      </c>
      <c r="G23" s="41">
        <f t="shared" si="1"/>
        <v>1.1231087671850348</v>
      </c>
      <c r="H23" s="9">
        <f>44370*1000</f>
        <v>44370000</v>
      </c>
      <c r="I23" s="9">
        <f t="shared" si="2"/>
        <v>5462336</v>
      </c>
      <c r="J23" s="9">
        <f t="shared" si="3"/>
        <v>30916182</v>
      </c>
      <c r="K23" s="9">
        <f t="shared" si="4"/>
        <v>18916154</v>
      </c>
      <c r="L23" s="9">
        <v>14069857</v>
      </c>
      <c r="M23" s="9">
        <v>10669651</v>
      </c>
      <c r="N23" s="9">
        <f t="shared" si="5"/>
        <v>3556550.3333333335</v>
      </c>
      <c r="O23" s="9">
        <v>8246503</v>
      </c>
      <c r="P23" s="9">
        <v>16846325</v>
      </c>
      <c r="Q23" s="9">
        <v>66264</v>
      </c>
      <c r="R23" s="9">
        <v>71211</v>
      </c>
      <c r="S23" s="41">
        <f t="shared" si="13"/>
        <v>0.9305303955849518</v>
      </c>
      <c r="T23" s="9">
        <f t="shared" si="14"/>
        <v>-4947</v>
      </c>
      <c r="U23" s="9">
        <v>68304</v>
      </c>
      <c r="V23" s="9">
        <v>69162</v>
      </c>
      <c r="W23" s="13">
        <f t="shared" si="6"/>
        <v>62.66894040001609</v>
      </c>
      <c r="X23" s="13">
        <f t="shared" si="7"/>
        <v>70.77677673145801</v>
      </c>
      <c r="Y23" s="13">
        <f t="shared" si="8"/>
        <v>53.672436516560026</v>
      </c>
      <c r="Z23" s="13">
        <f t="shared" si="11"/>
        <v>62.22460913920077</v>
      </c>
      <c r="AA23" s="13">
        <f>P23/Q23/4</f>
        <v>63.557606694434384</v>
      </c>
      <c r="AB23" s="3">
        <f t="shared" si="9"/>
        <v>0.24101959757321811</v>
      </c>
      <c r="AC23" s="3">
        <f t="shared" si="10"/>
        <v>15.104442795551869</v>
      </c>
    </row>
    <row r="24" spans="1:29" ht="23.25" customHeight="1">
      <c r="A24" s="8" t="s">
        <v>23</v>
      </c>
      <c r="B24" s="14">
        <v>25888</v>
      </c>
      <c r="C24" s="14">
        <v>24623</v>
      </c>
      <c r="D24" s="14">
        <v>36012</v>
      </c>
      <c r="E24" s="5">
        <f t="shared" si="0"/>
        <v>-11389</v>
      </c>
      <c r="F24" s="9">
        <v>47941298</v>
      </c>
      <c r="G24" s="41">
        <f t="shared" si="1"/>
        <v>0.8765815707097303</v>
      </c>
      <c r="H24" s="9">
        <f>54691.2*1000</f>
        <v>54691200</v>
      </c>
      <c r="I24" s="9">
        <f t="shared" si="2"/>
        <v>-6749902</v>
      </c>
      <c r="J24" s="9">
        <f t="shared" si="3"/>
        <v>29739566</v>
      </c>
      <c r="K24" s="9">
        <f t="shared" si="4"/>
        <v>18201732</v>
      </c>
      <c r="L24" s="9">
        <v>13538157</v>
      </c>
      <c r="M24" s="9">
        <v>10266759</v>
      </c>
      <c r="N24" s="9">
        <f t="shared" si="5"/>
        <v>3422253</v>
      </c>
      <c r="O24" s="9">
        <v>7934972</v>
      </c>
      <c r="P24" s="9">
        <v>16201409</v>
      </c>
      <c r="Q24" s="10">
        <v>87439</v>
      </c>
      <c r="R24" s="10">
        <v>123573</v>
      </c>
      <c r="S24" s="41">
        <f t="shared" si="13"/>
        <v>0.707589845678263</v>
      </c>
      <c r="T24" s="9">
        <f t="shared" si="14"/>
        <v>-36134</v>
      </c>
      <c r="U24" s="9">
        <v>89041</v>
      </c>
      <c r="V24" s="9">
        <v>90899</v>
      </c>
      <c r="W24" s="13">
        <f t="shared" si="6"/>
        <v>45.690231666266385</v>
      </c>
      <c r="X24" s="13">
        <f t="shared" si="7"/>
        <v>51.60991090931964</v>
      </c>
      <c r="Y24" s="13">
        <f t="shared" si="8"/>
        <v>39.13874815585722</v>
      </c>
      <c r="Z24" s="13">
        <f t="shared" si="11"/>
        <v>45.37432953258843</v>
      </c>
      <c r="AA24" s="13">
        <f t="shared" si="15"/>
        <v>46.322033074486214</v>
      </c>
      <c r="AB24" s="3">
        <f t="shared" si="9"/>
        <v>0.2429671001444926</v>
      </c>
      <c r="AC24" s="3">
        <f t="shared" si="10"/>
        <v>11.101223092882812</v>
      </c>
    </row>
    <row r="25" spans="1:27" s="23" customFormat="1" ht="25.5">
      <c r="A25" s="65" t="s">
        <v>117</v>
      </c>
      <c r="B25" s="15">
        <f>SUM(B5:B24)</f>
        <v>423258</v>
      </c>
      <c r="C25" s="15">
        <f>SUM(C5:C24)</f>
        <v>410258</v>
      </c>
      <c r="D25" s="15">
        <f>SUM(D5:D24)</f>
        <v>500691</v>
      </c>
      <c r="E25" s="15">
        <f>SUM(E5:E24)</f>
        <v>-90433</v>
      </c>
      <c r="F25" s="22">
        <f>SUM(F5:F24)</f>
        <v>844375331</v>
      </c>
      <c r="G25" s="37">
        <f>F25/H25</f>
        <v>0.9732440333176385</v>
      </c>
      <c r="H25" s="22">
        <f aca="true" t="shared" si="16" ref="H25:R25">SUM(H5:H24)</f>
        <v>867588500</v>
      </c>
      <c r="I25" s="22">
        <f t="shared" si="16"/>
        <v>-23213169</v>
      </c>
      <c r="J25" s="22">
        <f t="shared" si="16"/>
        <v>521703948</v>
      </c>
      <c r="K25" s="22">
        <f t="shared" si="16"/>
        <v>322671383</v>
      </c>
      <c r="L25" s="22">
        <f t="shared" si="16"/>
        <v>237526463</v>
      </c>
      <c r="M25" s="22">
        <f t="shared" si="16"/>
        <v>180103258</v>
      </c>
      <c r="N25" s="22"/>
      <c r="O25" s="22">
        <f t="shared" si="16"/>
        <v>139209207</v>
      </c>
      <c r="P25" s="22">
        <f t="shared" si="16"/>
        <v>284177485</v>
      </c>
      <c r="Q25" s="22">
        <f t="shared" si="16"/>
        <v>1330999</v>
      </c>
      <c r="R25" s="22">
        <f t="shared" si="16"/>
        <v>1706606</v>
      </c>
      <c r="S25" s="22"/>
      <c r="T25" s="22"/>
      <c r="U25" s="22"/>
      <c r="V25" s="66"/>
      <c r="W25" s="67"/>
      <c r="X25" s="59">
        <f>L25/3/Q25</f>
        <v>59.48576044509926</v>
      </c>
      <c r="Y25" s="59">
        <f>M25/3/Q25</f>
        <v>45.10478169655524</v>
      </c>
      <c r="Z25" s="59">
        <f>O25/2/Q25</f>
        <v>52.295008110449366</v>
      </c>
      <c r="AA25" s="59">
        <f>P25/4/Q25</f>
        <v>53.3767277435971</v>
      </c>
    </row>
    <row r="26" spans="1:27" s="23" customFormat="1" ht="12.75">
      <c r="A26" s="61" t="s">
        <v>65</v>
      </c>
      <c r="B26" s="62"/>
      <c r="C26" s="62"/>
      <c r="D26" s="62"/>
      <c r="E26" s="62"/>
      <c r="F26" s="63"/>
      <c r="G26" s="64"/>
      <c r="H26" s="63"/>
      <c r="I26" s="63"/>
      <c r="J26" s="6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W26" s="6"/>
      <c r="X26" s="60"/>
      <c r="Y26" s="60"/>
      <c r="Z26" s="60"/>
      <c r="AA26" s="60"/>
    </row>
    <row r="27" spans="1:27" s="33" customFormat="1" ht="12.75">
      <c r="A27" s="43" t="s">
        <v>66</v>
      </c>
      <c r="B27" s="44">
        <v>13000</v>
      </c>
      <c r="C27" s="44">
        <v>13000</v>
      </c>
      <c r="D27" s="44"/>
      <c r="E27" s="44"/>
      <c r="F27" s="39">
        <f>867771300-F25</f>
        <v>23395969</v>
      </c>
      <c r="G27" s="45"/>
      <c r="H27" s="39"/>
      <c r="I27" s="39"/>
      <c r="J27" s="3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W27" s="34"/>
      <c r="X27" s="34"/>
      <c r="Y27" s="34"/>
      <c r="Z27" s="34"/>
      <c r="AA27" s="34"/>
    </row>
    <row r="28" spans="1:27" s="40" customFormat="1" ht="15.75">
      <c r="A28" s="46" t="s">
        <v>73</v>
      </c>
      <c r="B28" s="32"/>
      <c r="C28" s="32"/>
      <c r="D28" s="32"/>
      <c r="E28" s="32"/>
      <c r="F28" s="9">
        <f>F25+F27</f>
        <v>867771300</v>
      </c>
      <c r="H28" s="22"/>
      <c r="I28" s="22"/>
      <c r="J28" s="22"/>
      <c r="K28" s="22"/>
      <c r="Q28" s="22"/>
      <c r="R28" s="22"/>
      <c r="S28" s="22"/>
      <c r="T28" s="22"/>
      <c r="U28" s="22"/>
      <c r="W28" s="22"/>
      <c r="X28" s="22"/>
      <c r="Y28" s="22"/>
      <c r="Z28" s="22"/>
      <c r="AA28" s="22"/>
    </row>
    <row r="29" spans="1:27" s="50" customFormat="1" ht="15.75">
      <c r="A29" s="47"/>
      <c r="B29" s="48"/>
      <c r="C29" s="48"/>
      <c r="D29" s="48"/>
      <c r="E29" s="48"/>
      <c r="F29" s="49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W29" s="48"/>
      <c r="X29" s="48"/>
      <c r="Y29" s="48"/>
      <c r="Z29" s="48"/>
      <c r="AA29" s="48"/>
    </row>
    <row r="30" spans="1:27" s="40" customFormat="1" ht="38.25">
      <c r="A30" s="52" t="s">
        <v>74</v>
      </c>
      <c r="B30" s="51">
        <f>L25/Q25/8</f>
        <v>22.307160166912222</v>
      </c>
      <c r="C30" s="32"/>
      <c r="D30" s="32"/>
      <c r="E30" s="32"/>
      <c r="F30" s="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W30" s="22"/>
      <c r="X30" s="22"/>
      <c r="Y30" s="22"/>
      <c r="Z30" s="22"/>
      <c r="AA30" s="22"/>
    </row>
    <row r="31" spans="1:27" s="40" customFormat="1" ht="38.25">
      <c r="A31" s="52" t="s">
        <v>75</v>
      </c>
      <c r="B31" s="51">
        <f>P25/Q25/4</f>
        <v>53.3767277435971</v>
      </c>
      <c r="C31" s="32"/>
      <c r="D31" s="32"/>
      <c r="E31" s="32"/>
      <c r="F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</row>
    <row r="32" spans="1:27" s="40" customFormat="1" ht="25.5">
      <c r="A32" s="52" t="s">
        <v>76</v>
      </c>
      <c r="B32" s="51">
        <f>F25/Q25/12</f>
        <v>52.8660133603907</v>
      </c>
      <c r="C32" s="32"/>
      <c r="D32" s="32"/>
      <c r="E32" s="32"/>
      <c r="F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</row>
    <row r="33" spans="1:27" s="3" customFormat="1" ht="12.75">
      <c r="A33" s="8" t="s">
        <v>30</v>
      </c>
      <c r="B33" s="14"/>
      <c r="C33" s="5"/>
      <c r="D33" s="5"/>
      <c r="E33" s="5"/>
      <c r="F33" s="22">
        <f>H25</f>
        <v>867588500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W33" s="5"/>
      <c r="X33" s="5"/>
      <c r="Y33" s="5"/>
      <c r="Z33" s="5"/>
      <c r="AA33" s="5"/>
    </row>
    <row r="34" spans="1:6" ht="12.75">
      <c r="A34" s="29"/>
      <c r="B34" s="31"/>
      <c r="F34" s="38"/>
    </row>
    <row r="35" spans="1:6" ht="12.75">
      <c r="A35" s="29"/>
      <c r="B35" s="31"/>
      <c r="F35" s="38"/>
    </row>
    <row r="41" ht="12.75">
      <c r="A41" s="42"/>
    </row>
    <row r="45" ht="12.75">
      <c r="A45" s="35">
        <f>F25-F27-F22</f>
        <v>785822997</v>
      </c>
    </row>
    <row r="46" ht="12.75">
      <c r="A46" s="36">
        <f>A45/F25</f>
        <v>0.9306560342890927</v>
      </c>
    </row>
  </sheetData>
  <sheetProtection/>
  <mergeCells count="5">
    <mergeCell ref="A1:AC1"/>
    <mergeCell ref="A2:AC2"/>
    <mergeCell ref="R8:R10"/>
    <mergeCell ref="T8:T10"/>
    <mergeCell ref="S8:S10"/>
  </mergeCells>
  <printOptions/>
  <pageMargins left="0.9055118110236221" right="0.7874015748031497" top="0.787401574803149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875" style="129" customWidth="1"/>
    <col min="2" max="2" width="42.875" style="129" customWidth="1"/>
    <col min="3" max="3" width="17.75390625" style="129" customWidth="1"/>
    <col min="4" max="16384" width="9.125" style="129" customWidth="1"/>
  </cols>
  <sheetData>
    <row r="1" ht="54" customHeight="1">
      <c r="C1" s="170" t="s">
        <v>192</v>
      </c>
    </row>
    <row r="2" spans="1:3" s="29" customFormat="1" ht="45" customHeight="1">
      <c r="A2" s="169" t="s">
        <v>188</v>
      </c>
      <c r="B2" s="169"/>
      <c r="C2" s="169"/>
    </row>
    <row r="3" spans="1:3" s="29" customFormat="1" ht="27" customHeight="1">
      <c r="A3" s="169" t="s">
        <v>189</v>
      </c>
      <c r="B3" s="169"/>
      <c r="C3" s="169"/>
    </row>
    <row r="4" spans="1:3" s="29" customFormat="1" ht="25.5" customHeight="1">
      <c r="A4" s="169" t="s">
        <v>190</v>
      </c>
      <c r="B4" s="169"/>
      <c r="C4" s="169"/>
    </row>
    <row r="5" spans="1:3" s="29" customFormat="1" ht="15.75">
      <c r="A5" s="169" t="s">
        <v>187</v>
      </c>
      <c r="B5" s="169"/>
      <c r="C5" s="169"/>
    </row>
    <row r="6" spans="1:3" ht="15.75">
      <c r="A6" s="133"/>
      <c r="B6" s="133"/>
      <c r="C6" s="130"/>
    </row>
    <row r="7" spans="1:3" s="136" customFormat="1" ht="63.75" customHeight="1">
      <c r="A7" s="134" t="s">
        <v>164</v>
      </c>
      <c r="B7" s="135" t="s">
        <v>0</v>
      </c>
      <c r="C7" s="132" t="s">
        <v>191</v>
      </c>
    </row>
    <row r="8" spans="1:3" s="139" customFormat="1" ht="12">
      <c r="A8" s="137"/>
      <c r="B8" s="138">
        <v>1</v>
      </c>
      <c r="C8" s="131">
        <v>2</v>
      </c>
    </row>
    <row r="9" spans="1:3" s="143" customFormat="1" ht="15">
      <c r="A9" s="140">
        <v>1</v>
      </c>
      <c r="B9" s="141" t="s">
        <v>166</v>
      </c>
      <c r="C9" s="142">
        <v>35.83</v>
      </c>
    </row>
    <row r="10" spans="1:3" s="143" customFormat="1" ht="15">
      <c r="A10" s="140">
        <f>A9+1</f>
        <v>2</v>
      </c>
      <c r="B10" s="141" t="s">
        <v>167</v>
      </c>
      <c r="C10" s="142">
        <v>47.64</v>
      </c>
    </row>
    <row r="11" spans="1:3" s="143" customFormat="1" ht="15">
      <c r="A11" s="140">
        <f aca="true" t="shared" si="0" ref="A11:A28">A10+1</f>
        <v>3</v>
      </c>
      <c r="B11" s="141" t="s">
        <v>168</v>
      </c>
      <c r="C11" s="142">
        <v>46.85</v>
      </c>
    </row>
    <row r="12" spans="1:3" s="143" customFormat="1" ht="15">
      <c r="A12" s="140">
        <f t="shared" si="0"/>
        <v>4</v>
      </c>
      <c r="B12" s="141" t="s">
        <v>169</v>
      </c>
      <c r="C12" s="142">
        <v>40.01</v>
      </c>
    </row>
    <row r="13" spans="1:3" s="143" customFormat="1" ht="15">
      <c r="A13" s="140">
        <f t="shared" si="0"/>
        <v>5</v>
      </c>
      <c r="B13" s="141" t="s">
        <v>170</v>
      </c>
      <c r="C13" s="142">
        <v>40.78</v>
      </c>
    </row>
    <row r="14" spans="1:3" s="143" customFormat="1" ht="15">
      <c r="A14" s="140">
        <f t="shared" si="0"/>
        <v>6</v>
      </c>
      <c r="B14" s="141" t="s">
        <v>171</v>
      </c>
      <c r="C14" s="142">
        <v>45.77</v>
      </c>
    </row>
    <row r="15" spans="1:3" s="143" customFormat="1" ht="15">
      <c r="A15" s="140">
        <f t="shared" si="0"/>
        <v>7</v>
      </c>
      <c r="B15" s="141" t="s">
        <v>172</v>
      </c>
      <c r="C15" s="142">
        <v>76.32</v>
      </c>
    </row>
    <row r="16" spans="1:3" s="143" customFormat="1" ht="15">
      <c r="A16" s="140">
        <f t="shared" si="0"/>
        <v>8</v>
      </c>
      <c r="B16" s="141" t="s">
        <v>173</v>
      </c>
      <c r="C16" s="142">
        <v>54.3</v>
      </c>
    </row>
    <row r="17" spans="1:3" s="143" customFormat="1" ht="15">
      <c r="A17" s="140">
        <f t="shared" si="0"/>
        <v>9</v>
      </c>
      <c r="B17" s="141" t="s">
        <v>174</v>
      </c>
      <c r="C17" s="142">
        <v>63.08</v>
      </c>
    </row>
    <row r="18" spans="1:3" s="143" customFormat="1" ht="15">
      <c r="A18" s="140">
        <f t="shared" si="0"/>
        <v>10</v>
      </c>
      <c r="B18" s="141" t="s">
        <v>175</v>
      </c>
      <c r="C18" s="142">
        <v>63.14</v>
      </c>
    </row>
    <row r="19" spans="1:3" s="143" customFormat="1" ht="15">
      <c r="A19" s="140">
        <f t="shared" si="0"/>
        <v>11</v>
      </c>
      <c r="B19" s="141" t="s">
        <v>176</v>
      </c>
      <c r="C19" s="142">
        <v>51.59</v>
      </c>
    </row>
    <row r="20" spans="1:3" s="143" customFormat="1" ht="15">
      <c r="A20" s="140">
        <f t="shared" si="0"/>
        <v>12</v>
      </c>
      <c r="B20" s="141" t="s">
        <v>177</v>
      </c>
      <c r="C20" s="142">
        <v>53.15</v>
      </c>
    </row>
    <row r="21" spans="1:3" s="143" customFormat="1" ht="15">
      <c r="A21" s="140">
        <f t="shared" si="0"/>
        <v>13</v>
      </c>
      <c r="B21" s="141" t="s">
        <v>178</v>
      </c>
      <c r="C21" s="142">
        <v>52.12</v>
      </c>
    </row>
    <row r="22" spans="1:3" s="143" customFormat="1" ht="15">
      <c r="A22" s="140">
        <f t="shared" si="0"/>
        <v>14</v>
      </c>
      <c r="B22" s="141" t="s">
        <v>179</v>
      </c>
      <c r="C22" s="142">
        <v>44.19</v>
      </c>
    </row>
    <row r="23" spans="1:3" s="143" customFormat="1" ht="15">
      <c r="A23" s="140">
        <f t="shared" si="0"/>
        <v>15</v>
      </c>
      <c r="B23" s="141" t="s">
        <v>180</v>
      </c>
      <c r="C23" s="142">
        <v>67.02</v>
      </c>
    </row>
    <row r="24" spans="1:3" s="143" customFormat="1" ht="15">
      <c r="A24" s="140">
        <f t="shared" si="0"/>
        <v>16</v>
      </c>
      <c r="B24" s="141" t="s">
        <v>181</v>
      </c>
      <c r="C24" s="142">
        <v>50.19</v>
      </c>
    </row>
    <row r="25" spans="1:3" s="143" customFormat="1" ht="15">
      <c r="A25" s="140">
        <f t="shared" si="0"/>
        <v>17</v>
      </c>
      <c r="B25" s="141" t="s">
        <v>182</v>
      </c>
      <c r="C25" s="142">
        <v>51.83</v>
      </c>
    </row>
    <row r="26" spans="1:3" s="143" customFormat="1" ht="15">
      <c r="A26" s="140">
        <f t="shared" si="0"/>
        <v>18</v>
      </c>
      <c r="B26" s="141" t="s">
        <v>183</v>
      </c>
      <c r="C26" s="142">
        <v>49.19</v>
      </c>
    </row>
    <row r="27" spans="1:3" s="143" customFormat="1" ht="15">
      <c r="A27" s="140">
        <f t="shared" si="0"/>
        <v>19</v>
      </c>
      <c r="B27" s="141" t="s">
        <v>184</v>
      </c>
      <c r="C27" s="142">
        <v>46.58</v>
      </c>
    </row>
    <row r="28" spans="1:4" s="143" customFormat="1" ht="15">
      <c r="A28" s="140">
        <f t="shared" si="0"/>
        <v>20</v>
      </c>
      <c r="B28" s="141" t="s">
        <v>185</v>
      </c>
      <c r="C28" s="142">
        <v>51.07</v>
      </c>
      <c r="D28" s="144"/>
    </row>
    <row r="29" s="143" customFormat="1" ht="12.75" hidden="1"/>
    <row r="30" s="143" customFormat="1" ht="12.75" hidden="1">
      <c r="B30" s="145" t="s">
        <v>162</v>
      </c>
    </row>
    <row r="31" ht="12.75" hidden="1">
      <c r="B31" s="129" t="s">
        <v>186</v>
      </c>
    </row>
  </sheetData>
  <sheetProtection/>
  <mergeCells count="4">
    <mergeCell ref="A2:C2"/>
    <mergeCell ref="A3:C3"/>
    <mergeCell ref="A4:C4"/>
    <mergeCell ref="A5:C5"/>
  </mergeCells>
  <printOptions horizontalCentered="1"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view="pageBreakPreview" zoomScaleSheetLayoutView="100" zoomScalePageLayoutView="0" workbookViewId="0" topLeftCell="A1">
      <pane xSplit="1" ySplit="4" topLeftCell="M5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5.125" style="0" customWidth="1"/>
    <col min="2" max="2" width="11.625" style="1" hidden="1" customWidth="1"/>
    <col min="3" max="3" width="10.125" style="1" hidden="1" customWidth="1"/>
    <col min="4" max="4" width="13.125" style="1" hidden="1" customWidth="1"/>
    <col min="5" max="5" width="11.00390625" style="1" hidden="1" customWidth="1"/>
    <col min="6" max="6" width="13.00390625" style="11" hidden="1" customWidth="1"/>
    <col min="7" max="7" width="9.25390625" style="11" hidden="1" customWidth="1"/>
    <col min="8" max="8" width="13.375" style="11" hidden="1" customWidth="1"/>
    <col min="9" max="9" width="12.625" style="11" hidden="1" customWidth="1"/>
    <col min="10" max="10" width="13.25390625" style="11" hidden="1" customWidth="1"/>
    <col min="11" max="11" width="13.375" style="11" hidden="1" customWidth="1"/>
    <col min="12" max="12" width="20.75390625" style="11" customWidth="1"/>
    <col min="13" max="13" width="21.25390625" style="11" customWidth="1"/>
    <col min="14" max="14" width="12.25390625" style="11" hidden="1" customWidth="1"/>
    <col min="15" max="15" width="21.125" style="11" customWidth="1"/>
    <col min="16" max="16" width="18.375" style="11" customWidth="1"/>
    <col min="17" max="17" width="12.625" style="0" customWidth="1"/>
    <col min="18" max="18" width="11.875" style="0" hidden="1" customWidth="1"/>
    <col min="19" max="19" width="11.75390625" style="0" hidden="1" customWidth="1"/>
    <col min="20" max="20" width="12.625" style="0" hidden="1" customWidth="1"/>
    <col min="21" max="22" width="17.875" style="0" hidden="1" customWidth="1"/>
    <col min="23" max="23" width="12.375" style="1" hidden="1" customWidth="1"/>
    <col min="24" max="27" width="15.75390625" style="1" customWidth="1"/>
    <col min="28" max="28" width="13.75390625" style="0" hidden="1" customWidth="1"/>
    <col min="29" max="29" width="16.00390625" style="0" hidden="1" customWidth="1"/>
  </cols>
  <sheetData>
    <row r="1" spans="1:32" ht="12.75">
      <c r="A1" s="155" t="s">
        <v>139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2"/>
      <c r="AE1" s="2"/>
      <c r="AF1" s="2"/>
    </row>
    <row r="2" spans="1:32" ht="12.75">
      <c r="A2" s="156" t="s">
        <v>140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6"/>
      <c r="AE2" s="6"/>
      <c r="AF2" s="6"/>
    </row>
    <row r="3" spans="1:30" s="20" customFormat="1" ht="93.75" customHeight="1">
      <c r="A3" s="81" t="s">
        <v>0</v>
      </c>
      <c r="B3" s="82" t="s">
        <v>64</v>
      </c>
      <c r="C3" s="82" t="s">
        <v>67</v>
      </c>
      <c r="D3" s="82" t="s">
        <v>68</v>
      </c>
      <c r="E3" s="82" t="s">
        <v>31</v>
      </c>
      <c r="F3" s="83" t="s">
        <v>27</v>
      </c>
      <c r="G3" s="83" t="s">
        <v>71</v>
      </c>
      <c r="H3" s="83" t="s">
        <v>63</v>
      </c>
      <c r="I3" s="82" t="s">
        <v>41</v>
      </c>
      <c r="J3" s="83" t="s">
        <v>26</v>
      </c>
      <c r="K3" s="83" t="s">
        <v>29</v>
      </c>
      <c r="L3" s="83" t="s">
        <v>100</v>
      </c>
      <c r="M3" s="83" t="s">
        <v>116</v>
      </c>
      <c r="N3" s="83" t="s">
        <v>138</v>
      </c>
      <c r="O3" s="83" t="s">
        <v>101</v>
      </c>
      <c r="P3" s="83" t="s">
        <v>28</v>
      </c>
      <c r="Q3" s="82" t="s">
        <v>1</v>
      </c>
      <c r="R3" s="82" t="s">
        <v>78</v>
      </c>
      <c r="S3" s="82" t="s">
        <v>80</v>
      </c>
      <c r="T3" s="82" t="s">
        <v>79</v>
      </c>
      <c r="U3" s="82" t="s">
        <v>113</v>
      </c>
      <c r="V3" s="82" t="s">
        <v>114</v>
      </c>
      <c r="W3" s="82" t="s">
        <v>69</v>
      </c>
      <c r="X3" s="82" t="s">
        <v>105</v>
      </c>
      <c r="Y3" s="82" t="s">
        <v>109</v>
      </c>
      <c r="Z3" s="82" t="s">
        <v>110</v>
      </c>
      <c r="AA3" s="82" t="s">
        <v>70</v>
      </c>
      <c r="AB3" s="82" t="s">
        <v>3</v>
      </c>
      <c r="AC3" s="82" t="s">
        <v>2</v>
      </c>
      <c r="AD3" s="21"/>
    </row>
    <row r="4" spans="1:29" ht="15.75" customHeight="1">
      <c r="A4" s="14">
        <v>1</v>
      </c>
      <c r="B4" s="14"/>
      <c r="C4" s="84" t="s">
        <v>32</v>
      </c>
      <c r="D4" s="84" t="s">
        <v>33</v>
      </c>
      <c r="E4" s="84" t="s">
        <v>25</v>
      </c>
      <c r="F4" s="10">
        <v>3</v>
      </c>
      <c r="G4" s="10" t="s">
        <v>72</v>
      </c>
      <c r="H4" s="84" t="s">
        <v>38</v>
      </c>
      <c r="I4" s="84" t="s">
        <v>42</v>
      </c>
      <c r="J4" s="84" t="s">
        <v>39</v>
      </c>
      <c r="K4" s="84" t="s">
        <v>40</v>
      </c>
      <c r="L4" s="84" t="s">
        <v>33</v>
      </c>
      <c r="M4" s="84" t="s">
        <v>141</v>
      </c>
      <c r="N4" s="84"/>
      <c r="O4" s="84" t="s">
        <v>142</v>
      </c>
      <c r="P4" s="84" t="s">
        <v>34</v>
      </c>
      <c r="Q4" s="14">
        <v>6</v>
      </c>
      <c r="R4" s="84" t="s">
        <v>77</v>
      </c>
      <c r="S4" s="84"/>
      <c r="T4" s="84"/>
      <c r="U4" s="84" t="s">
        <v>112</v>
      </c>
      <c r="V4" s="84" t="s">
        <v>111</v>
      </c>
      <c r="W4" s="14" t="s">
        <v>108</v>
      </c>
      <c r="X4" s="84" t="s">
        <v>112</v>
      </c>
      <c r="Y4" s="84" t="s">
        <v>143</v>
      </c>
      <c r="Z4" s="84" t="s">
        <v>144</v>
      </c>
      <c r="AA4" s="84" t="s">
        <v>145</v>
      </c>
      <c r="AB4" s="14" t="s">
        <v>115</v>
      </c>
      <c r="AC4" s="14" t="s">
        <v>37</v>
      </c>
    </row>
    <row r="5" spans="1:29" ht="21" customHeight="1">
      <c r="A5" s="8" t="s">
        <v>5</v>
      </c>
      <c r="B5" s="14">
        <v>20764</v>
      </c>
      <c r="C5" s="14">
        <v>20666</v>
      </c>
      <c r="D5" s="14">
        <v>22200</v>
      </c>
      <c r="E5" s="14">
        <f aca="true" t="shared" si="0" ref="E5:E24">C5-D5</f>
        <v>-1534</v>
      </c>
      <c r="F5" s="10">
        <v>43925045</v>
      </c>
      <c r="G5" s="85">
        <f aca="true" t="shared" si="1" ref="G5:G21">F5/H5</f>
        <v>1.0546431864237489</v>
      </c>
      <c r="H5" s="10">
        <f>41649.2*1000</f>
        <v>41649200</v>
      </c>
      <c r="I5" s="10">
        <f aca="true" t="shared" si="2" ref="I5:I24">F5-H5</f>
        <v>2275845</v>
      </c>
      <c r="J5" s="10">
        <f aca="true" t="shared" si="3" ref="J5:J24">L5+P5</f>
        <v>27240123</v>
      </c>
      <c r="K5" s="10">
        <f aca="true" t="shared" si="4" ref="K5:K24">F5-J5</f>
        <v>16684922</v>
      </c>
      <c r="L5" s="10">
        <v>12409697</v>
      </c>
      <c r="M5" s="10">
        <v>9411267</v>
      </c>
      <c r="N5" s="10">
        <f aca="true" t="shared" si="5" ref="N5:N26">M5/3</f>
        <v>3137089</v>
      </c>
      <c r="O5" s="10">
        <v>7273655</v>
      </c>
      <c r="P5" s="10">
        <v>14830426</v>
      </c>
      <c r="Q5" s="10">
        <v>49516</v>
      </c>
      <c r="R5" s="10">
        <v>53338</v>
      </c>
      <c r="S5" s="85">
        <f>Q5/R5</f>
        <v>0.928343769920132</v>
      </c>
      <c r="T5" s="10">
        <f>Q5-R5</f>
        <v>-3822</v>
      </c>
      <c r="U5" s="79">
        <v>50225</v>
      </c>
      <c r="V5" s="80">
        <v>50694</v>
      </c>
      <c r="W5" s="86">
        <f aca="true" t="shared" si="6" ref="W5:W24">F5/Q5/12</f>
        <v>73.92399258152247</v>
      </c>
      <c r="X5" s="86">
        <f aca="true" t="shared" si="7" ref="X5:X24">L5/Q5/3</f>
        <v>83.5399803430541</v>
      </c>
      <c r="Y5" s="86">
        <f aca="true" t="shared" si="8" ref="Y5:Y24">M5/Q5/3</f>
        <v>63.355056951288475</v>
      </c>
      <c r="Z5" s="86">
        <f aca="true" t="shared" si="9" ref="Z5:Z24">O5/Q5/2</f>
        <v>73.44752201308668</v>
      </c>
      <c r="AA5" s="86">
        <f aca="true" t="shared" si="10" ref="AA5:AA24">P5/Q5/4</f>
        <v>74.87693876726715</v>
      </c>
      <c r="AB5" s="8">
        <f aca="true" t="shared" si="11" ref="AB5:AB24">Q5/(U5+V5)/2</f>
        <v>0.24532545903150052</v>
      </c>
      <c r="AC5" s="8">
        <f>AB5*X5</f>
        <v>20.494484025142278</v>
      </c>
    </row>
    <row r="6" spans="1:29" ht="21" customHeight="1">
      <c r="A6" s="8" t="s">
        <v>6</v>
      </c>
      <c r="B6" s="14">
        <v>10185</v>
      </c>
      <c r="C6" s="14">
        <v>9730</v>
      </c>
      <c r="D6" s="14">
        <v>13468</v>
      </c>
      <c r="E6" s="14">
        <f t="shared" si="0"/>
        <v>-3738</v>
      </c>
      <c r="F6" s="10">
        <v>20680832</v>
      </c>
      <c r="G6" s="85">
        <f t="shared" si="1"/>
        <v>0.8184853090172239</v>
      </c>
      <c r="H6" s="10">
        <f>25267.2*1000</f>
        <v>25267200</v>
      </c>
      <c r="I6" s="10">
        <f t="shared" si="2"/>
        <v>-4586368</v>
      </c>
      <c r="J6" s="10">
        <f t="shared" si="3"/>
        <v>12825792</v>
      </c>
      <c r="K6" s="10">
        <f t="shared" si="4"/>
        <v>7855040</v>
      </c>
      <c r="L6" s="10">
        <v>5844826</v>
      </c>
      <c r="M6" s="10">
        <v>4430074</v>
      </c>
      <c r="N6" s="10">
        <f t="shared" si="5"/>
        <v>1476691.3333333333</v>
      </c>
      <c r="O6" s="10">
        <v>3424967</v>
      </c>
      <c r="P6" s="10">
        <v>6980966</v>
      </c>
      <c r="Q6" s="10">
        <v>35779</v>
      </c>
      <c r="R6" s="10">
        <v>49531</v>
      </c>
      <c r="S6" s="85">
        <f>Q6/R6</f>
        <v>0.7223556964325372</v>
      </c>
      <c r="T6" s="10">
        <f>Q6-R6</f>
        <v>-13752</v>
      </c>
      <c r="U6" s="79">
        <v>37108</v>
      </c>
      <c r="V6" s="80">
        <v>37792</v>
      </c>
      <c r="W6" s="86">
        <f t="shared" si="6"/>
        <v>48.167994261065616</v>
      </c>
      <c r="X6" s="86">
        <f t="shared" si="7"/>
        <v>54.45304042408489</v>
      </c>
      <c r="Y6" s="86">
        <f t="shared" si="8"/>
        <v>41.272571433895116</v>
      </c>
      <c r="Z6" s="86">
        <f t="shared" si="9"/>
        <v>47.86281058721597</v>
      </c>
      <c r="AA6" s="86">
        <f t="shared" si="10"/>
        <v>48.7783755834428</v>
      </c>
      <c r="AB6" s="8">
        <f t="shared" si="11"/>
        <v>0.23884512683578105</v>
      </c>
      <c r="AC6" s="8">
        <f aca="true" t="shared" si="12" ref="AC6:AC24">W6*AB6</f>
        <v>11.50469069870939</v>
      </c>
    </row>
    <row r="7" spans="1:29" ht="21" customHeight="1">
      <c r="A7" s="8" t="s">
        <v>7</v>
      </c>
      <c r="B7" s="14">
        <v>25707</v>
      </c>
      <c r="C7" s="14">
        <v>25090</v>
      </c>
      <c r="D7" s="14">
        <v>33240</v>
      </c>
      <c r="E7" s="14">
        <f t="shared" si="0"/>
        <v>-8150</v>
      </c>
      <c r="F7" s="10">
        <v>48121263</v>
      </c>
      <c r="G7" s="85">
        <f t="shared" si="1"/>
        <v>1.0372750258665286</v>
      </c>
      <c r="H7" s="10">
        <f>46392*1000</f>
        <v>46392000</v>
      </c>
      <c r="I7" s="10">
        <f t="shared" si="2"/>
        <v>1729263</v>
      </c>
      <c r="J7" s="10">
        <f t="shared" si="3"/>
        <v>29844396</v>
      </c>
      <c r="K7" s="10">
        <f t="shared" si="4"/>
        <v>18276867</v>
      </c>
      <c r="L7" s="10">
        <v>13593724</v>
      </c>
      <c r="M7" s="10">
        <v>10309219</v>
      </c>
      <c r="N7" s="10">
        <f t="shared" si="5"/>
        <v>3436406.3333333335</v>
      </c>
      <c r="O7" s="10">
        <v>7967648</v>
      </c>
      <c r="P7" s="10">
        <v>16250672</v>
      </c>
      <c r="Q7" s="10">
        <v>75537</v>
      </c>
      <c r="R7" s="10">
        <v>95567</v>
      </c>
      <c r="S7" s="85">
        <f>Q7/R7</f>
        <v>0.7904088231293229</v>
      </c>
      <c r="T7" s="10">
        <f>Q7-R7</f>
        <v>-20030</v>
      </c>
      <c r="U7" s="79">
        <v>78085</v>
      </c>
      <c r="V7" s="80">
        <v>78830</v>
      </c>
      <c r="W7" s="86">
        <f t="shared" si="6"/>
        <v>53.08796020493268</v>
      </c>
      <c r="X7" s="86">
        <f t="shared" si="7"/>
        <v>59.987043876952136</v>
      </c>
      <c r="Y7" s="86">
        <f t="shared" si="8"/>
        <v>45.493021080177044</v>
      </c>
      <c r="Z7" s="86">
        <f t="shared" si="9"/>
        <v>52.740034684988814</v>
      </c>
      <c r="AA7" s="86">
        <f t="shared" si="10"/>
        <v>53.783814554456754</v>
      </c>
      <c r="AB7" s="8">
        <f t="shared" si="11"/>
        <v>0.24069400630914828</v>
      </c>
      <c r="AC7" s="8">
        <f t="shared" si="12"/>
        <v>12.77795382850588</v>
      </c>
    </row>
    <row r="8" spans="1:29" ht="21" customHeight="1">
      <c r="A8" s="8" t="s">
        <v>8</v>
      </c>
      <c r="B8" s="14">
        <v>24867</v>
      </c>
      <c r="C8" s="14">
        <v>23018</v>
      </c>
      <c r="D8" s="14">
        <v>34747</v>
      </c>
      <c r="E8" s="14">
        <f t="shared" si="0"/>
        <v>-11729</v>
      </c>
      <c r="F8" s="10">
        <v>50077685</v>
      </c>
      <c r="G8" s="85">
        <f t="shared" si="1"/>
        <v>0.733603539859308</v>
      </c>
      <c r="H8" s="10">
        <f>68262.6*1000</f>
        <v>68262600</v>
      </c>
      <c r="I8" s="10">
        <f t="shared" si="2"/>
        <v>-18184915</v>
      </c>
      <c r="J8" s="10">
        <f t="shared" si="3"/>
        <v>31066263</v>
      </c>
      <c r="K8" s="10">
        <f t="shared" si="4"/>
        <v>19011422</v>
      </c>
      <c r="L8" s="10">
        <v>14140821</v>
      </c>
      <c r="M8" s="10">
        <v>10723362</v>
      </c>
      <c r="N8" s="10">
        <f t="shared" si="5"/>
        <v>3574454</v>
      </c>
      <c r="O8" s="10">
        <v>8288061</v>
      </c>
      <c r="P8" s="10">
        <v>16925442</v>
      </c>
      <c r="Q8" s="10">
        <v>100758</v>
      </c>
      <c r="R8" s="157">
        <v>262372</v>
      </c>
      <c r="S8" s="160">
        <f>(Q8+Q9+Q10)/R8</f>
        <v>0.6171085329227204</v>
      </c>
      <c r="T8" s="157">
        <f>SUM(Q8:Q10)-R8</f>
        <v>-100460</v>
      </c>
      <c r="U8" s="79">
        <v>108945</v>
      </c>
      <c r="V8" s="80">
        <v>120577</v>
      </c>
      <c r="W8" s="86">
        <f t="shared" si="6"/>
        <v>41.417459821221804</v>
      </c>
      <c r="X8" s="86">
        <f t="shared" si="7"/>
        <v>46.781466484050895</v>
      </c>
      <c r="Y8" s="86">
        <f t="shared" si="8"/>
        <v>35.475634689056946</v>
      </c>
      <c r="Z8" s="86">
        <f t="shared" si="9"/>
        <v>41.12855058655392</v>
      </c>
      <c r="AA8" s="86">
        <f t="shared" si="10"/>
        <v>41.99528077175013</v>
      </c>
      <c r="AB8" s="8">
        <f t="shared" si="11"/>
        <v>0.2194952989255932</v>
      </c>
      <c r="AC8" s="8">
        <f t="shared" si="12"/>
        <v>9.090937724197826</v>
      </c>
    </row>
    <row r="9" spans="1:29" ht="22.5" customHeight="1">
      <c r="A9" s="8" t="s">
        <v>9</v>
      </c>
      <c r="B9" s="14">
        <v>12949</v>
      </c>
      <c r="C9" s="14">
        <v>12025</v>
      </c>
      <c r="D9" s="14">
        <v>20587</v>
      </c>
      <c r="E9" s="14">
        <f t="shared" si="0"/>
        <v>-8562</v>
      </c>
      <c r="F9" s="10">
        <v>26110062</v>
      </c>
      <c r="G9" s="85">
        <f t="shared" si="1"/>
        <v>0.6478827114236513</v>
      </c>
      <c r="H9" s="10">
        <f>40300.6*1000</f>
        <v>40300600</v>
      </c>
      <c r="I9" s="10">
        <f t="shared" si="2"/>
        <v>-14190538</v>
      </c>
      <c r="J9" s="10">
        <f t="shared" si="3"/>
        <v>16270708</v>
      </c>
      <c r="K9" s="10">
        <f t="shared" si="4"/>
        <v>9839354</v>
      </c>
      <c r="L9" s="10">
        <v>7376005</v>
      </c>
      <c r="M9" s="10">
        <v>6025550</v>
      </c>
      <c r="N9" s="10">
        <f t="shared" si="5"/>
        <v>2008516.6666666667</v>
      </c>
      <c r="O9" s="10">
        <v>4350289</v>
      </c>
      <c r="P9" s="10">
        <v>8894703</v>
      </c>
      <c r="Q9" s="10">
        <v>39485</v>
      </c>
      <c r="R9" s="158"/>
      <c r="S9" s="161"/>
      <c r="T9" s="158"/>
      <c r="U9" s="79">
        <v>41786</v>
      </c>
      <c r="V9" s="80">
        <v>43051</v>
      </c>
      <c r="W9" s="86">
        <f t="shared" si="6"/>
        <v>55.10544510573636</v>
      </c>
      <c r="X9" s="86">
        <f t="shared" si="7"/>
        <v>62.26841416571694</v>
      </c>
      <c r="Y9" s="86">
        <f t="shared" si="8"/>
        <v>50.86784010805791</v>
      </c>
      <c r="Z9" s="86">
        <f t="shared" si="9"/>
        <v>55.08786881094086</v>
      </c>
      <c r="AA9" s="86">
        <f t="shared" si="10"/>
        <v>56.316974800557176</v>
      </c>
      <c r="AB9" s="8">
        <f t="shared" si="11"/>
        <v>0.2327109633768285</v>
      </c>
      <c r="AC9" s="8">
        <f t="shared" si="12"/>
        <v>12.823641217864846</v>
      </c>
    </row>
    <row r="10" spans="1:29" ht="21" customHeight="1">
      <c r="A10" s="8" t="s">
        <v>10</v>
      </c>
      <c r="B10" s="14">
        <v>8493</v>
      </c>
      <c r="C10" s="14">
        <v>7894</v>
      </c>
      <c r="D10" s="14">
        <v>13489</v>
      </c>
      <c r="E10" s="14">
        <f t="shared" si="0"/>
        <v>-5595</v>
      </c>
      <c r="F10" s="10">
        <v>17950225</v>
      </c>
      <c r="G10" s="85">
        <f t="shared" si="1"/>
        <v>0.673779423522302</v>
      </c>
      <c r="H10" s="10">
        <f>26641.1*1000</f>
        <v>26641100</v>
      </c>
      <c r="I10" s="10">
        <f t="shared" si="2"/>
        <v>-8690875</v>
      </c>
      <c r="J10" s="10">
        <f t="shared" si="3"/>
        <v>11079371</v>
      </c>
      <c r="K10" s="10">
        <f t="shared" si="4"/>
        <v>6870854</v>
      </c>
      <c r="L10" s="10">
        <v>5076671</v>
      </c>
      <c r="M10" s="10">
        <v>3393937</v>
      </c>
      <c r="N10" s="10">
        <f t="shared" si="5"/>
        <v>1131312.3333333333</v>
      </c>
      <c r="O10" s="10">
        <v>2940432</v>
      </c>
      <c r="P10" s="10">
        <v>6002700</v>
      </c>
      <c r="Q10" s="10">
        <v>21669</v>
      </c>
      <c r="R10" s="159"/>
      <c r="S10" s="162"/>
      <c r="T10" s="159"/>
      <c r="U10" s="10">
        <v>23262</v>
      </c>
      <c r="V10" s="10">
        <v>24033</v>
      </c>
      <c r="W10" s="86">
        <f t="shared" si="6"/>
        <v>69.03189271924562</v>
      </c>
      <c r="X10" s="86">
        <f t="shared" si="7"/>
        <v>78.0942206223945</v>
      </c>
      <c r="Y10" s="86">
        <f t="shared" si="8"/>
        <v>52.20879289922624</v>
      </c>
      <c r="Z10" s="86">
        <f t="shared" si="9"/>
        <v>67.84881628132355</v>
      </c>
      <c r="AA10" s="86">
        <f t="shared" si="10"/>
        <v>69.25446490377959</v>
      </c>
      <c r="AB10" s="8">
        <f t="shared" si="11"/>
        <v>0.22908341262289883</v>
      </c>
      <c r="AC10" s="8">
        <f t="shared" si="12"/>
        <v>15.81406156394263</v>
      </c>
    </row>
    <row r="11" spans="1:29" ht="30.75" customHeight="1">
      <c r="A11" s="87" t="s">
        <v>11</v>
      </c>
      <c r="B11" s="18">
        <v>46666</v>
      </c>
      <c r="C11" s="18">
        <v>45027</v>
      </c>
      <c r="D11" s="18">
        <v>59625</v>
      </c>
      <c r="E11" s="14">
        <f t="shared" si="0"/>
        <v>-14598</v>
      </c>
      <c r="F11" s="10">
        <v>97132082</v>
      </c>
      <c r="G11" s="85">
        <f t="shared" si="1"/>
        <v>0.8481936386404043</v>
      </c>
      <c r="H11" s="10">
        <f>114516.4*1000</f>
        <v>114516400</v>
      </c>
      <c r="I11" s="10">
        <f t="shared" si="2"/>
        <v>-17384318</v>
      </c>
      <c r="J11" s="10">
        <f t="shared" si="3"/>
        <v>60254039</v>
      </c>
      <c r="K11" s="10">
        <f t="shared" si="4"/>
        <v>36878043</v>
      </c>
      <c r="L11" s="10">
        <v>27433083</v>
      </c>
      <c r="M11" s="10">
        <v>20800261</v>
      </c>
      <c r="N11" s="10">
        <f t="shared" si="5"/>
        <v>6933420.333333333</v>
      </c>
      <c r="O11" s="10">
        <v>16077782</v>
      </c>
      <c r="P11" s="10">
        <v>32820956</v>
      </c>
      <c r="Q11" s="10">
        <v>153786</v>
      </c>
      <c r="R11" s="10">
        <v>201640</v>
      </c>
      <c r="S11" s="85">
        <f aca="true" t="shared" si="13" ref="S11:S24">Q11/R11</f>
        <v>0.7626760563380282</v>
      </c>
      <c r="T11" s="10">
        <f aca="true" t="shared" si="14" ref="T11:T24">Q11-R11</f>
        <v>-47854</v>
      </c>
      <c r="U11" s="10">
        <v>158388</v>
      </c>
      <c r="V11" s="10">
        <v>160353</v>
      </c>
      <c r="W11" s="86">
        <f t="shared" si="6"/>
        <v>52.633790895573505</v>
      </c>
      <c r="X11" s="86">
        <f t="shared" si="7"/>
        <v>59.46159598402975</v>
      </c>
      <c r="Y11" s="86">
        <f t="shared" si="8"/>
        <v>45.08486034706237</v>
      </c>
      <c r="Z11" s="86">
        <f t="shared" si="9"/>
        <v>52.273230333060226</v>
      </c>
      <c r="AA11" s="86">
        <f t="shared" si="10"/>
        <v>53.3549152718713</v>
      </c>
      <c r="AB11" s="8">
        <f t="shared" si="11"/>
        <v>0.24123975265183958</v>
      </c>
      <c r="AC11" s="8">
        <f t="shared" si="12"/>
        <v>12.697362696776798</v>
      </c>
    </row>
    <row r="12" spans="1:29" ht="21" customHeight="1">
      <c r="A12" s="8" t="s">
        <v>12</v>
      </c>
      <c r="B12" s="14">
        <v>47090</v>
      </c>
      <c r="C12" s="14">
        <v>44971</v>
      </c>
      <c r="D12" s="14">
        <v>57240</v>
      </c>
      <c r="E12" s="14">
        <f t="shared" si="0"/>
        <v>-12269</v>
      </c>
      <c r="F12" s="10">
        <v>87194141</v>
      </c>
      <c r="G12" s="85">
        <f t="shared" si="1"/>
        <v>1.0696029690836983</v>
      </c>
      <c r="H12" s="10">
        <f>81520.1*1000</f>
        <v>81520100</v>
      </c>
      <c r="I12" s="10">
        <f t="shared" si="2"/>
        <v>5674041</v>
      </c>
      <c r="J12" s="10">
        <f t="shared" si="3"/>
        <v>54088927</v>
      </c>
      <c r="K12" s="10">
        <f t="shared" si="4"/>
        <v>33105214</v>
      </c>
      <c r="L12" s="10">
        <v>24626158</v>
      </c>
      <c r="M12" s="10">
        <v>18672370</v>
      </c>
      <c r="N12" s="10">
        <f t="shared" si="5"/>
        <v>6224123.333333333</v>
      </c>
      <c r="O12" s="10">
        <v>14432843</v>
      </c>
      <c r="P12" s="10">
        <v>29462769</v>
      </c>
      <c r="Q12" s="10">
        <v>172456</v>
      </c>
      <c r="R12" s="10">
        <v>231709</v>
      </c>
      <c r="S12" s="85">
        <f t="shared" si="13"/>
        <v>0.7442783836622661</v>
      </c>
      <c r="T12" s="10">
        <f t="shared" si="14"/>
        <v>-59253</v>
      </c>
      <c r="U12" s="10">
        <v>182799</v>
      </c>
      <c r="V12" s="10">
        <v>186347</v>
      </c>
      <c r="W12" s="86">
        <f t="shared" si="6"/>
        <v>42.13352053084072</v>
      </c>
      <c r="X12" s="86">
        <f t="shared" si="7"/>
        <v>47.598919917737476</v>
      </c>
      <c r="Y12" s="86">
        <f t="shared" si="8"/>
        <v>36.091080236891344</v>
      </c>
      <c r="Z12" s="86">
        <f t="shared" si="9"/>
        <v>41.84500104374449</v>
      </c>
      <c r="AA12" s="86">
        <f t="shared" si="10"/>
        <v>42.71055950503317</v>
      </c>
      <c r="AB12" s="8">
        <f t="shared" si="11"/>
        <v>0.2335877945311611</v>
      </c>
      <c r="AC12" s="8">
        <f t="shared" si="12"/>
        <v>9.84187613663248</v>
      </c>
    </row>
    <row r="13" spans="1:29" ht="30.75" customHeight="1">
      <c r="A13" s="87" t="s">
        <v>13</v>
      </c>
      <c r="B13" s="18">
        <v>23792</v>
      </c>
      <c r="C13" s="18">
        <v>23635</v>
      </c>
      <c r="D13" s="18">
        <v>26424</v>
      </c>
      <c r="E13" s="14">
        <f t="shared" si="0"/>
        <v>-2789</v>
      </c>
      <c r="F13" s="10">
        <v>52438026</v>
      </c>
      <c r="G13" s="85">
        <f t="shared" si="1"/>
        <v>1.033880906000836</v>
      </c>
      <c r="H13" s="10">
        <f>50719.6*1000</f>
        <v>50719600</v>
      </c>
      <c r="I13" s="10">
        <f t="shared" si="2"/>
        <v>1718426</v>
      </c>
      <c r="J13" s="10">
        <f t="shared" si="3"/>
        <v>32541944</v>
      </c>
      <c r="K13" s="10">
        <f t="shared" si="4"/>
        <v>19896082</v>
      </c>
      <c r="L13" s="10">
        <v>14801974</v>
      </c>
      <c r="M13" s="10">
        <v>11223680</v>
      </c>
      <c r="N13" s="10">
        <f t="shared" si="5"/>
        <v>3741226.6666666665</v>
      </c>
      <c r="O13" s="10">
        <v>8674514</v>
      </c>
      <c r="P13" s="10">
        <v>17739970</v>
      </c>
      <c r="Q13" s="10">
        <v>74817</v>
      </c>
      <c r="R13" s="10">
        <v>77840</v>
      </c>
      <c r="S13" s="85">
        <f t="shared" si="13"/>
        <v>0.9611639260020555</v>
      </c>
      <c r="T13" s="10">
        <f t="shared" si="14"/>
        <v>-3023</v>
      </c>
      <c r="U13" s="10">
        <v>76769</v>
      </c>
      <c r="V13" s="10">
        <v>77877</v>
      </c>
      <c r="W13" s="86">
        <f t="shared" si="6"/>
        <v>58.40698638010078</v>
      </c>
      <c r="X13" s="86">
        <f t="shared" si="7"/>
        <v>65.94746292063746</v>
      </c>
      <c r="Y13" s="86">
        <f t="shared" si="8"/>
        <v>50.00503450641788</v>
      </c>
      <c r="Z13" s="86">
        <f t="shared" si="9"/>
        <v>57.971543900450435</v>
      </c>
      <c r="AA13" s="86">
        <f t="shared" si="10"/>
        <v>59.27787133940147</v>
      </c>
      <c r="AB13" s="8">
        <f t="shared" si="11"/>
        <v>0.24189762425151637</v>
      </c>
      <c r="AC13" s="8">
        <f t="shared" si="12"/>
        <v>14.128511245037053</v>
      </c>
    </row>
    <row r="14" spans="1:29" ht="21" customHeight="1">
      <c r="A14" s="8" t="s">
        <v>14</v>
      </c>
      <c r="B14" s="14">
        <v>19321</v>
      </c>
      <c r="C14" s="14">
        <v>19223</v>
      </c>
      <c r="D14" s="14">
        <v>20827</v>
      </c>
      <c r="E14" s="14">
        <f t="shared" si="0"/>
        <v>-1604</v>
      </c>
      <c r="F14" s="10">
        <v>42198877</v>
      </c>
      <c r="G14" s="85">
        <f t="shared" si="1"/>
        <v>1.0566202525940467</v>
      </c>
      <c r="H14" s="10">
        <f>39937.6*1000</f>
        <v>39937600</v>
      </c>
      <c r="I14" s="10">
        <f t="shared" si="2"/>
        <v>2261277</v>
      </c>
      <c r="J14" s="10">
        <f t="shared" si="3"/>
        <v>26181178</v>
      </c>
      <c r="K14" s="10">
        <f t="shared" si="4"/>
        <v>16017699</v>
      </c>
      <c r="L14" s="10">
        <v>11911916</v>
      </c>
      <c r="M14" s="10">
        <v>9035296</v>
      </c>
      <c r="N14" s="10">
        <f t="shared" si="5"/>
        <v>3011765.3333333335</v>
      </c>
      <c r="O14" s="10">
        <v>6982404</v>
      </c>
      <c r="P14" s="10">
        <v>14269262</v>
      </c>
      <c r="Q14" s="10">
        <v>61925</v>
      </c>
      <c r="R14" s="10">
        <v>64278</v>
      </c>
      <c r="S14" s="85">
        <f t="shared" si="13"/>
        <v>0.9633933849839759</v>
      </c>
      <c r="T14" s="10">
        <f t="shared" si="14"/>
        <v>-2353</v>
      </c>
      <c r="U14" s="10">
        <v>64331</v>
      </c>
      <c r="V14" s="10">
        <v>65138</v>
      </c>
      <c r="W14" s="86">
        <f t="shared" si="6"/>
        <v>56.78761539496703</v>
      </c>
      <c r="X14" s="86">
        <f t="shared" si="7"/>
        <v>64.12012380567892</v>
      </c>
      <c r="Y14" s="86">
        <f t="shared" si="8"/>
        <v>48.635693715516084</v>
      </c>
      <c r="Z14" s="86">
        <f t="shared" si="9"/>
        <v>56.3779087605975</v>
      </c>
      <c r="AA14" s="86">
        <f t="shared" si="10"/>
        <v>57.6070327008478</v>
      </c>
      <c r="AB14" s="8">
        <f t="shared" si="11"/>
        <v>0.23914991233422672</v>
      </c>
      <c r="AC14" s="8">
        <f t="shared" si="12"/>
        <v>13.580753243376149</v>
      </c>
    </row>
    <row r="15" spans="1:29" ht="21" customHeight="1">
      <c r="A15" s="8" t="s">
        <v>15</v>
      </c>
      <c r="B15" s="14">
        <v>24294</v>
      </c>
      <c r="C15" s="14">
        <v>23410</v>
      </c>
      <c r="D15" s="14">
        <v>36100</v>
      </c>
      <c r="E15" s="14">
        <f t="shared" si="0"/>
        <v>-12690</v>
      </c>
      <c r="F15" s="10">
        <v>45371720</v>
      </c>
      <c r="G15" s="85">
        <f t="shared" si="1"/>
        <v>0.8011647084167665</v>
      </c>
      <c r="H15" s="10">
        <f>56632.2*1000</f>
        <v>56632200</v>
      </c>
      <c r="I15" s="10">
        <f t="shared" si="2"/>
        <v>-11260480</v>
      </c>
      <c r="J15" s="10">
        <f t="shared" si="3"/>
        <v>28144414</v>
      </c>
      <c r="K15" s="10">
        <f t="shared" si="4"/>
        <v>17227306</v>
      </c>
      <c r="L15" s="10">
        <v>12815626</v>
      </c>
      <c r="M15" s="10">
        <v>9716572</v>
      </c>
      <c r="N15" s="10">
        <f t="shared" si="5"/>
        <v>3238857.3333333335</v>
      </c>
      <c r="O15" s="10">
        <v>7510733</v>
      </c>
      <c r="P15" s="10">
        <v>15328788</v>
      </c>
      <c r="Q15" s="10">
        <v>75103</v>
      </c>
      <c r="R15" s="10">
        <v>101380</v>
      </c>
      <c r="S15" s="85">
        <f t="shared" si="13"/>
        <v>0.74080686525942</v>
      </c>
      <c r="T15" s="10">
        <f t="shared" si="14"/>
        <v>-26277</v>
      </c>
      <c r="U15" s="10">
        <v>79264</v>
      </c>
      <c r="V15" s="10">
        <v>81057</v>
      </c>
      <c r="W15" s="86">
        <f t="shared" si="6"/>
        <v>50.343883289171764</v>
      </c>
      <c r="X15" s="86">
        <f t="shared" si="7"/>
        <v>56.88022227252352</v>
      </c>
      <c r="Y15" s="86">
        <f t="shared" si="8"/>
        <v>43.12553870462343</v>
      </c>
      <c r="Z15" s="86">
        <f t="shared" si="9"/>
        <v>50.00288270774803</v>
      </c>
      <c r="AA15" s="86">
        <f t="shared" si="10"/>
        <v>51.02588445201923</v>
      </c>
      <c r="AB15" s="8">
        <f t="shared" si="11"/>
        <v>0.23422695716718334</v>
      </c>
      <c r="AC15" s="8">
        <f t="shared" si="12"/>
        <v>11.791894594802512</v>
      </c>
    </row>
    <row r="16" spans="1:29" ht="27" customHeight="1">
      <c r="A16" s="87" t="s">
        <v>16</v>
      </c>
      <c r="B16" s="18">
        <v>11522</v>
      </c>
      <c r="C16" s="18">
        <v>11402</v>
      </c>
      <c r="D16" s="18">
        <v>12000</v>
      </c>
      <c r="E16" s="14">
        <f t="shared" si="0"/>
        <v>-598</v>
      </c>
      <c r="F16" s="10">
        <v>24234629</v>
      </c>
      <c r="G16" s="85">
        <f t="shared" si="1"/>
        <v>1.2215835210976527</v>
      </c>
      <c r="H16" s="10">
        <f>19838.7*1000</f>
        <v>19838700</v>
      </c>
      <c r="I16" s="10">
        <f t="shared" si="2"/>
        <v>4395929</v>
      </c>
      <c r="J16" s="10">
        <f t="shared" si="3"/>
        <v>15028888</v>
      </c>
      <c r="K16" s="10">
        <f t="shared" si="4"/>
        <v>9205741</v>
      </c>
      <c r="L16" s="10">
        <v>6847822</v>
      </c>
      <c r="M16" s="10">
        <v>5192351</v>
      </c>
      <c r="N16" s="10">
        <f t="shared" si="5"/>
        <v>1730783.6666666667</v>
      </c>
      <c r="O16" s="10">
        <v>4013391</v>
      </c>
      <c r="P16" s="10">
        <v>8181066</v>
      </c>
      <c r="Q16" s="10">
        <v>27407</v>
      </c>
      <c r="R16" s="10">
        <v>30733</v>
      </c>
      <c r="S16" s="85">
        <f t="shared" si="13"/>
        <v>0.8917775680864217</v>
      </c>
      <c r="T16" s="10">
        <f t="shared" si="14"/>
        <v>-3326</v>
      </c>
      <c r="U16" s="10">
        <v>28449</v>
      </c>
      <c r="V16" s="10">
        <v>28919</v>
      </c>
      <c r="W16" s="86">
        <f t="shared" si="6"/>
        <v>73.68746731370331</v>
      </c>
      <c r="X16" s="86">
        <f t="shared" si="7"/>
        <v>83.28555965021101</v>
      </c>
      <c r="Y16" s="86">
        <f t="shared" si="8"/>
        <v>63.151153598229165</v>
      </c>
      <c r="Z16" s="86">
        <f t="shared" si="9"/>
        <v>73.21835662422009</v>
      </c>
      <c r="AA16" s="86">
        <f t="shared" si="10"/>
        <v>74.62569781442697</v>
      </c>
      <c r="AB16" s="8">
        <f t="shared" si="11"/>
        <v>0.2388701017989123</v>
      </c>
      <c r="AC16" s="8">
        <f t="shared" si="12"/>
        <v>17.601732818528333</v>
      </c>
    </row>
    <row r="17" spans="1:29" ht="42" customHeight="1">
      <c r="A17" s="87" t="s">
        <v>18</v>
      </c>
      <c r="B17" s="18">
        <v>16285</v>
      </c>
      <c r="C17" s="18">
        <v>15677</v>
      </c>
      <c r="D17" s="18">
        <v>20600</v>
      </c>
      <c r="E17" s="14">
        <f t="shared" si="0"/>
        <v>-4923</v>
      </c>
      <c r="F17" s="10">
        <v>33321126</v>
      </c>
      <c r="G17" s="85">
        <f t="shared" si="1"/>
        <v>0.8557328827105168</v>
      </c>
      <c r="H17" s="10">
        <f>38938.7*1000</f>
        <v>38938700</v>
      </c>
      <c r="I17" s="10">
        <f t="shared" si="2"/>
        <v>-5617574</v>
      </c>
      <c r="J17" s="10">
        <f t="shared" si="3"/>
        <v>20703847</v>
      </c>
      <c r="K17" s="10">
        <f t="shared" si="4"/>
        <v>12617279</v>
      </c>
      <c r="L17" s="10">
        <v>9413379</v>
      </c>
      <c r="M17" s="10">
        <v>7158723</v>
      </c>
      <c r="N17" s="10">
        <f t="shared" si="5"/>
        <v>2386241</v>
      </c>
      <c r="O17" s="10">
        <v>5533641</v>
      </c>
      <c r="P17" s="10">
        <v>11290468</v>
      </c>
      <c r="Q17" s="10">
        <v>50841</v>
      </c>
      <c r="R17" s="10">
        <v>70971</v>
      </c>
      <c r="S17" s="85">
        <f t="shared" si="13"/>
        <v>0.7163630215158304</v>
      </c>
      <c r="T17" s="10">
        <f t="shared" si="14"/>
        <v>-20130</v>
      </c>
      <c r="U17" s="10">
        <v>50661</v>
      </c>
      <c r="V17" s="10">
        <v>51786</v>
      </c>
      <c r="W17" s="86">
        <f t="shared" si="6"/>
        <v>54.61655946971933</v>
      </c>
      <c r="X17" s="86">
        <f t="shared" si="7"/>
        <v>61.71776715642886</v>
      </c>
      <c r="Y17" s="86">
        <f t="shared" si="8"/>
        <v>46.9353671249582</v>
      </c>
      <c r="Z17" s="86">
        <f t="shared" si="9"/>
        <v>54.421047973092584</v>
      </c>
      <c r="AA17" s="86">
        <f t="shared" si="10"/>
        <v>55.51851851851852</v>
      </c>
      <c r="AB17" s="8">
        <f t="shared" si="11"/>
        <v>0.24813318105947466</v>
      </c>
      <c r="AC17" s="8">
        <f t="shared" si="12"/>
        <v>13.552180639745432</v>
      </c>
    </row>
    <row r="18" spans="1:29" ht="21" customHeight="1">
      <c r="A18" s="8" t="s">
        <v>17</v>
      </c>
      <c r="B18" s="14">
        <v>19391</v>
      </c>
      <c r="C18" s="14">
        <v>18947</v>
      </c>
      <c r="D18" s="14">
        <v>19000</v>
      </c>
      <c r="E18" s="14">
        <f t="shared" si="0"/>
        <v>-53</v>
      </c>
      <c r="F18" s="10">
        <v>36596820</v>
      </c>
      <c r="G18" s="85">
        <f t="shared" si="1"/>
        <v>1.0133244359778046</v>
      </c>
      <c r="H18" s="10">
        <f>36115.6*1000</f>
        <v>36115600</v>
      </c>
      <c r="I18" s="10">
        <f t="shared" si="2"/>
        <v>481220</v>
      </c>
      <c r="J18" s="10">
        <f t="shared" si="3"/>
        <v>22701592</v>
      </c>
      <c r="K18" s="10">
        <f t="shared" si="4"/>
        <v>13895228</v>
      </c>
      <c r="L18" s="10">
        <v>10338521</v>
      </c>
      <c r="M18" s="10">
        <v>7836791</v>
      </c>
      <c r="N18" s="10">
        <f t="shared" si="5"/>
        <v>2612263.6666666665</v>
      </c>
      <c r="O18" s="10">
        <v>6058438</v>
      </c>
      <c r="P18" s="10">
        <v>12363071</v>
      </c>
      <c r="Q18" s="10">
        <v>63746</v>
      </c>
      <c r="R18" s="10">
        <v>77339</v>
      </c>
      <c r="S18" s="85">
        <f t="shared" si="13"/>
        <v>0.8242413271441317</v>
      </c>
      <c r="T18" s="10">
        <f t="shared" si="14"/>
        <v>-13593</v>
      </c>
      <c r="U18" s="10">
        <v>65768</v>
      </c>
      <c r="V18" s="10">
        <v>66856</v>
      </c>
      <c r="W18" s="86">
        <f t="shared" si="6"/>
        <v>47.84198224202303</v>
      </c>
      <c r="X18" s="86">
        <f t="shared" si="7"/>
        <v>54.06101820767839</v>
      </c>
      <c r="Y18" s="86">
        <f t="shared" si="8"/>
        <v>40.97925621476903</v>
      </c>
      <c r="Z18" s="86">
        <f t="shared" si="9"/>
        <v>47.52014244030998</v>
      </c>
      <c r="AA18" s="86">
        <f t="shared" si="10"/>
        <v>48.48567361089323</v>
      </c>
      <c r="AB18" s="8">
        <f t="shared" si="11"/>
        <v>0.24032603450355894</v>
      </c>
      <c r="AC18" s="8">
        <f t="shared" si="12"/>
        <v>11.49767387501508</v>
      </c>
    </row>
    <row r="19" spans="1:29" ht="21" customHeight="1">
      <c r="A19" s="8" t="s">
        <v>19</v>
      </c>
      <c r="B19" s="14">
        <v>13487</v>
      </c>
      <c r="C19" s="14">
        <v>13407</v>
      </c>
      <c r="D19" s="14">
        <v>15500</v>
      </c>
      <c r="E19" s="14">
        <f t="shared" si="0"/>
        <v>-2093</v>
      </c>
      <c r="F19" s="10">
        <v>28496238</v>
      </c>
      <c r="G19" s="85">
        <f t="shared" si="1"/>
        <v>0.9799458723357428</v>
      </c>
      <c r="H19" s="10">
        <f>29079.4*1000</f>
        <v>29079400</v>
      </c>
      <c r="I19" s="10">
        <f t="shared" si="2"/>
        <v>-583162</v>
      </c>
      <c r="J19" s="10">
        <f t="shared" si="3"/>
        <v>17673033</v>
      </c>
      <c r="K19" s="10">
        <f t="shared" si="4"/>
        <v>10823205</v>
      </c>
      <c r="L19" s="10">
        <v>8051416</v>
      </c>
      <c r="M19" s="10">
        <v>6104549</v>
      </c>
      <c r="N19" s="10">
        <f t="shared" si="5"/>
        <v>2034849.6666666667</v>
      </c>
      <c r="O19" s="10">
        <v>4718655</v>
      </c>
      <c r="P19" s="10">
        <v>9621617</v>
      </c>
      <c r="Q19" s="10">
        <v>28818</v>
      </c>
      <c r="R19" s="10">
        <v>31707</v>
      </c>
      <c r="S19" s="85">
        <f t="shared" si="13"/>
        <v>0.9088844734601192</v>
      </c>
      <c r="T19" s="10">
        <f t="shared" si="14"/>
        <v>-2889</v>
      </c>
      <c r="U19" s="10">
        <v>29413</v>
      </c>
      <c r="V19" s="10">
        <v>29891</v>
      </c>
      <c r="W19" s="86">
        <f t="shared" si="6"/>
        <v>82.40289055451454</v>
      </c>
      <c r="X19" s="86">
        <f t="shared" si="7"/>
        <v>93.12947926064727</v>
      </c>
      <c r="Y19" s="86">
        <f t="shared" si="8"/>
        <v>70.61037083304416</v>
      </c>
      <c r="Z19" s="86">
        <f t="shared" si="9"/>
        <v>81.86992504684572</v>
      </c>
      <c r="AA19" s="86">
        <f t="shared" si="10"/>
        <v>83.46881289471858</v>
      </c>
      <c r="AB19" s="8">
        <f t="shared" si="11"/>
        <v>0.2429684338324565</v>
      </c>
      <c r="AC19" s="8">
        <f t="shared" si="12"/>
        <v>20.021301261297722</v>
      </c>
    </row>
    <row r="20" spans="1:29" ht="21" customHeight="1">
      <c r="A20" s="8" t="s">
        <v>24</v>
      </c>
      <c r="B20" s="14">
        <v>16104</v>
      </c>
      <c r="C20" s="14">
        <v>15666</v>
      </c>
      <c r="D20" s="14">
        <v>18570</v>
      </c>
      <c r="E20" s="14">
        <f t="shared" si="0"/>
        <v>-2904</v>
      </c>
      <c r="F20" s="10">
        <v>33297662</v>
      </c>
      <c r="G20" s="85">
        <f t="shared" si="1"/>
        <v>1.084603798659948</v>
      </c>
      <c r="H20" s="10">
        <f>30700.3*1000</f>
        <v>30700300</v>
      </c>
      <c r="I20" s="10">
        <f t="shared" si="2"/>
        <v>2597362</v>
      </c>
      <c r="J20" s="10">
        <f t="shared" si="3"/>
        <v>18566421</v>
      </c>
      <c r="K20" s="10">
        <f t="shared" si="4"/>
        <v>14731241</v>
      </c>
      <c r="L20" s="10">
        <v>8459315</v>
      </c>
      <c r="M20" s="10">
        <v>6412829</v>
      </c>
      <c r="N20" s="10">
        <f t="shared" si="5"/>
        <v>2137609.6666666665</v>
      </c>
      <c r="O20" s="10">
        <v>4957381</v>
      </c>
      <c r="P20" s="10">
        <v>10107106</v>
      </c>
      <c r="Q20" s="10">
        <v>48830</v>
      </c>
      <c r="R20" s="10">
        <v>61838</v>
      </c>
      <c r="S20" s="85">
        <f t="shared" si="13"/>
        <v>0.7896439082764644</v>
      </c>
      <c r="T20" s="10">
        <f t="shared" si="14"/>
        <v>-13008</v>
      </c>
      <c r="U20" s="10">
        <v>50199</v>
      </c>
      <c r="V20" s="10">
        <v>51175</v>
      </c>
      <c r="W20" s="86">
        <f t="shared" si="6"/>
        <v>56.82582770154959</v>
      </c>
      <c r="X20" s="86">
        <f t="shared" si="7"/>
        <v>57.74670625981295</v>
      </c>
      <c r="Y20" s="86">
        <f t="shared" si="8"/>
        <v>43.77656495323913</v>
      </c>
      <c r="Z20" s="86">
        <f t="shared" si="9"/>
        <v>50.76163219332378</v>
      </c>
      <c r="AA20" s="86">
        <f t="shared" si="10"/>
        <v>51.74639565840672</v>
      </c>
      <c r="AB20" s="8">
        <f t="shared" si="11"/>
        <v>0.24084084676544282</v>
      </c>
      <c r="AC20" s="8">
        <f t="shared" si="12"/>
        <v>13.685980461788361</v>
      </c>
    </row>
    <row r="21" spans="1:29" ht="21" customHeight="1">
      <c r="A21" s="8" t="s">
        <v>20</v>
      </c>
      <c r="B21" s="14">
        <v>12764</v>
      </c>
      <c r="C21" s="14">
        <v>12616</v>
      </c>
      <c r="D21" s="14">
        <v>15000</v>
      </c>
      <c r="E21" s="14">
        <f t="shared" si="0"/>
        <v>-2384</v>
      </c>
      <c r="F21" s="10">
        <v>24298899</v>
      </c>
      <c r="G21" s="85">
        <f t="shared" si="1"/>
        <v>1.1036927234738372</v>
      </c>
      <c r="H21" s="10">
        <f>22016*1000</f>
        <v>22016000</v>
      </c>
      <c r="I21" s="10">
        <f t="shared" si="2"/>
        <v>2282899</v>
      </c>
      <c r="J21" s="10">
        <f t="shared" si="3"/>
        <v>15072654</v>
      </c>
      <c r="K21" s="10">
        <f t="shared" si="4"/>
        <v>9226245</v>
      </c>
      <c r="L21" s="10">
        <v>6864166</v>
      </c>
      <c r="M21" s="10">
        <v>5203641</v>
      </c>
      <c r="N21" s="10">
        <f t="shared" si="5"/>
        <v>1734547</v>
      </c>
      <c r="O21" s="10">
        <v>4022603</v>
      </c>
      <c r="P21" s="10">
        <v>8208488</v>
      </c>
      <c r="Q21" s="10">
        <v>38797</v>
      </c>
      <c r="R21" s="10">
        <v>43553</v>
      </c>
      <c r="S21" s="85">
        <f t="shared" si="13"/>
        <v>0.8907997152894175</v>
      </c>
      <c r="T21" s="10">
        <f t="shared" si="14"/>
        <v>-4756</v>
      </c>
      <c r="U21" s="10">
        <v>39072</v>
      </c>
      <c r="V21" s="10">
        <v>39766</v>
      </c>
      <c r="W21" s="86">
        <f t="shared" si="6"/>
        <v>52.192392453024716</v>
      </c>
      <c r="X21" s="86">
        <f t="shared" si="7"/>
        <v>58.97505820896805</v>
      </c>
      <c r="Y21" s="86">
        <f t="shared" si="8"/>
        <v>44.70827641312473</v>
      </c>
      <c r="Z21" s="86">
        <f t="shared" si="9"/>
        <v>51.84167590277599</v>
      </c>
      <c r="AA21" s="86">
        <f t="shared" si="10"/>
        <v>52.89383199731938</v>
      </c>
      <c r="AB21" s="8">
        <f t="shared" si="11"/>
        <v>0.24605520180623558</v>
      </c>
      <c r="AC21" s="8">
        <f t="shared" si="12"/>
        <v>12.842209657779243</v>
      </c>
    </row>
    <row r="22" spans="1:29" ht="30" customHeight="1">
      <c r="A22" s="87" t="s">
        <v>21</v>
      </c>
      <c r="B22" s="18">
        <v>18097</v>
      </c>
      <c r="C22" s="18">
        <v>17795</v>
      </c>
      <c r="D22" s="18"/>
      <c r="E22" s="14">
        <f t="shared" si="0"/>
        <v>17795</v>
      </c>
      <c r="F22" s="10">
        <v>35156365</v>
      </c>
      <c r="G22" s="85"/>
      <c r="H22" s="10">
        <v>0</v>
      </c>
      <c r="I22" s="10">
        <f t="shared" si="2"/>
        <v>35156365</v>
      </c>
      <c r="J22" s="10">
        <f t="shared" si="3"/>
        <v>0</v>
      </c>
      <c r="K22" s="10">
        <f t="shared" si="4"/>
        <v>35156365</v>
      </c>
      <c r="L22" s="10">
        <v>0</v>
      </c>
      <c r="M22" s="10">
        <v>0</v>
      </c>
      <c r="N22" s="10">
        <f t="shared" si="5"/>
        <v>0</v>
      </c>
      <c r="O22" s="10">
        <v>0</v>
      </c>
      <c r="P22" s="10">
        <v>0</v>
      </c>
      <c r="Q22" s="10">
        <v>58026</v>
      </c>
      <c r="R22" s="10">
        <v>58026</v>
      </c>
      <c r="S22" s="85">
        <f t="shared" si="13"/>
        <v>1</v>
      </c>
      <c r="T22" s="10">
        <f t="shared" si="14"/>
        <v>0</v>
      </c>
      <c r="U22" s="10">
        <v>61319</v>
      </c>
      <c r="V22" s="10">
        <v>62820</v>
      </c>
      <c r="W22" s="86">
        <f t="shared" si="6"/>
        <v>50.489385505348174</v>
      </c>
      <c r="X22" s="86">
        <f t="shared" si="7"/>
        <v>0</v>
      </c>
      <c r="Y22" s="86">
        <f t="shared" si="8"/>
        <v>0</v>
      </c>
      <c r="Z22" s="86">
        <f t="shared" si="9"/>
        <v>0</v>
      </c>
      <c r="AA22" s="86">
        <f t="shared" si="10"/>
        <v>0</v>
      </c>
      <c r="AB22" s="8">
        <f t="shared" si="11"/>
        <v>0.23371382079765424</v>
      </c>
      <c r="AC22" s="8">
        <f t="shared" si="12"/>
        <v>11.800067196180624</v>
      </c>
    </row>
    <row r="23" spans="1:29" ht="21" customHeight="1">
      <c r="A23" s="8" t="s">
        <v>22</v>
      </c>
      <c r="B23" s="14">
        <v>25592</v>
      </c>
      <c r="C23" s="14">
        <v>25436</v>
      </c>
      <c r="D23" s="14">
        <v>26062</v>
      </c>
      <c r="E23" s="14">
        <f t="shared" si="0"/>
        <v>-626</v>
      </c>
      <c r="F23" s="10">
        <v>49832336</v>
      </c>
      <c r="G23" s="85">
        <f>F23/H23</f>
        <v>1.1231087671850348</v>
      </c>
      <c r="H23" s="10">
        <f>44370*1000</f>
        <v>44370000</v>
      </c>
      <c r="I23" s="10">
        <f t="shared" si="2"/>
        <v>5462336</v>
      </c>
      <c r="J23" s="10">
        <f t="shared" si="3"/>
        <v>30916182</v>
      </c>
      <c r="K23" s="10">
        <f t="shared" si="4"/>
        <v>18916154</v>
      </c>
      <c r="L23" s="10">
        <v>14069857</v>
      </c>
      <c r="M23" s="10">
        <v>10669651</v>
      </c>
      <c r="N23" s="10">
        <f t="shared" si="5"/>
        <v>3556550.3333333335</v>
      </c>
      <c r="O23" s="10">
        <v>8246503</v>
      </c>
      <c r="P23" s="10">
        <v>16846325</v>
      </c>
      <c r="Q23" s="10">
        <v>66264</v>
      </c>
      <c r="R23" s="10">
        <v>71211</v>
      </c>
      <c r="S23" s="85">
        <f t="shared" si="13"/>
        <v>0.9305303955849518</v>
      </c>
      <c r="T23" s="10">
        <f t="shared" si="14"/>
        <v>-4947</v>
      </c>
      <c r="U23" s="10">
        <v>68304</v>
      </c>
      <c r="V23" s="10">
        <v>69162</v>
      </c>
      <c r="W23" s="86">
        <f t="shared" si="6"/>
        <v>62.66894040001609</v>
      </c>
      <c r="X23" s="86">
        <f t="shared" si="7"/>
        <v>70.77677673145801</v>
      </c>
      <c r="Y23" s="86">
        <f t="shared" si="8"/>
        <v>53.672436516560026</v>
      </c>
      <c r="Z23" s="86">
        <f t="shared" si="9"/>
        <v>62.22460913920077</v>
      </c>
      <c r="AA23" s="86">
        <f t="shared" si="10"/>
        <v>63.557606694434384</v>
      </c>
      <c r="AB23" s="8">
        <f t="shared" si="11"/>
        <v>0.24101959757321811</v>
      </c>
      <c r="AC23" s="8">
        <f t="shared" si="12"/>
        <v>15.104442795551869</v>
      </c>
    </row>
    <row r="24" spans="1:29" ht="23.25" customHeight="1">
      <c r="A24" s="8" t="s">
        <v>23</v>
      </c>
      <c r="B24" s="14">
        <v>25888</v>
      </c>
      <c r="C24" s="14">
        <v>24623</v>
      </c>
      <c r="D24" s="14">
        <v>36012</v>
      </c>
      <c r="E24" s="14">
        <f t="shared" si="0"/>
        <v>-11389</v>
      </c>
      <c r="F24" s="10">
        <v>47941298</v>
      </c>
      <c r="G24" s="85">
        <f>F24/H24</f>
        <v>0.8765815707097303</v>
      </c>
      <c r="H24" s="10">
        <f>54691.2*1000</f>
        <v>54691200</v>
      </c>
      <c r="I24" s="10">
        <f t="shared" si="2"/>
        <v>-6749902</v>
      </c>
      <c r="J24" s="10">
        <f t="shared" si="3"/>
        <v>29739566</v>
      </c>
      <c r="K24" s="10">
        <f t="shared" si="4"/>
        <v>18201732</v>
      </c>
      <c r="L24" s="10">
        <v>13538157</v>
      </c>
      <c r="M24" s="10">
        <v>10266759</v>
      </c>
      <c r="N24" s="10">
        <f t="shared" si="5"/>
        <v>3422253</v>
      </c>
      <c r="O24" s="10">
        <v>7934972</v>
      </c>
      <c r="P24" s="10">
        <v>16201409</v>
      </c>
      <c r="Q24" s="10">
        <v>87439</v>
      </c>
      <c r="R24" s="10">
        <v>123573</v>
      </c>
      <c r="S24" s="85">
        <f t="shared" si="13"/>
        <v>0.707589845678263</v>
      </c>
      <c r="T24" s="10">
        <f t="shared" si="14"/>
        <v>-36134</v>
      </c>
      <c r="U24" s="10">
        <v>89041</v>
      </c>
      <c r="V24" s="10">
        <v>90899</v>
      </c>
      <c r="W24" s="86">
        <f t="shared" si="6"/>
        <v>45.690231666266385</v>
      </c>
      <c r="X24" s="86">
        <f t="shared" si="7"/>
        <v>51.60991090931964</v>
      </c>
      <c r="Y24" s="86">
        <f t="shared" si="8"/>
        <v>39.13874815585722</v>
      </c>
      <c r="Z24" s="86">
        <f t="shared" si="9"/>
        <v>45.37432953258843</v>
      </c>
      <c r="AA24" s="86">
        <f t="shared" si="10"/>
        <v>46.322033074486214</v>
      </c>
      <c r="AB24" s="8">
        <f t="shared" si="11"/>
        <v>0.2429671001444926</v>
      </c>
      <c r="AC24" s="8">
        <f t="shared" si="12"/>
        <v>11.101223092882812</v>
      </c>
    </row>
    <row r="25" spans="1:29" s="23" customFormat="1" ht="25.5">
      <c r="A25" s="88" t="s">
        <v>117</v>
      </c>
      <c r="B25" s="15">
        <f>SUM(B5:B24)</f>
        <v>423258</v>
      </c>
      <c r="C25" s="15">
        <f>SUM(C5:C24)</f>
        <v>410258</v>
      </c>
      <c r="D25" s="15">
        <f>SUM(D5:D24)</f>
        <v>500691</v>
      </c>
      <c r="E25" s="15">
        <f>SUM(E5:E24)</f>
        <v>-90433</v>
      </c>
      <c r="F25" s="32">
        <f>SUM(F5:F24)</f>
        <v>844375331</v>
      </c>
      <c r="G25" s="89">
        <f>F25/H25</f>
        <v>0.9732440333176385</v>
      </c>
      <c r="H25" s="32">
        <f aca="true" t="shared" si="15" ref="H25:M25">SUM(H5:H24)</f>
        <v>867588500</v>
      </c>
      <c r="I25" s="32">
        <f t="shared" si="15"/>
        <v>-23213169</v>
      </c>
      <c r="J25" s="32">
        <f t="shared" si="15"/>
        <v>499939338</v>
      </c>
      <c r="K25" s="32">
        <f t="shared" si="15"/>
        <v>344435993</v>
      </c>
      <c r="L25" s="32">
        <f t="shared" si="15"/>
        <v>227613134</v>
      </c>
      <c r="M25" s="32">
        <f t="shared" si="15"/>
        <v>172586882</v>
      </c>
      <c r="N25" s="32"/>
      <c r="O25" s="32">
        <f>SUM(O5:O24)</f>
        <v>133408912</v>
      </c>
      <c r="P25" s="32">
        <f>SUM(P5:P24)</f>
        <v>272326204</v>
      </c>
      <c r="Q25" s="32">
        <f>SUM(Q5:Q24)</f>
        <v>1330999</v>
      </c>
      <c r="R25" s="32">
        <f>SUM(R5:R24)</f>
        <v>1706606</v>
      </c>
      <c r="S25" s="32"/>
      <c r="T25" s="32"/>
      <c r="U25" s="32"/>
      <c r="V25" s="90"/>
      <c r="W25" s="15"/>
      <c r="X25" s="51">
        <f>L25/3/Q25</f>
        <v>57.00308164519032</v>
      </c>
      <c r="Y25" s="51">
        <f>M25/3/Q25</f>
        <v>43.22239210297428</v>
      </c>
      <c r="Z25" s="51">
        <f>O25/2/Q25</f>
        <v>50.11608273184277</v>
      </c>
      <c r="AA25" s="51">
        <f>P25/4/Q25</f>
        <v>51.15071536492514</v>
      </c>
      <c r="AB25" s="91"/>
      <c r="AC25" s="91"/>
    </row>
    <row r="26" spans="1:27" s="23" customFormat="1" ht="25.5">
      <c r="A26" s="7" t="s">
        <v>21</v>
      </c>
      <c r="B26" s="4">
        <v>18097</v>
      </c>
      <c r="C26" s="4">
        <v>17795</v>
      </c>
      <c r="D26" s="4"/>
      <c r="E26" s="5">
        <f>C26-D26</f>
        <v>17795</v>
      </c>
      <c r="F26" s="9">
        <v>35156365</v>
      </c>
      <c r="G26" s="41"/>
      <c r="H26" s="9">
        <v>0</v>
      </c>
      <c r="I26" s="9">
        <f>F26-H26</f>
        <v>35156365</v>
      </c>
      <c r="J26" s="9">
        <f>L26+P26</f>
        <v>133673</v>
      </c>
      <c r="K26" s="9">
        <f>F26-J26</f>
        <v>35022692</v>
      </c>
      <c r="L26" s="9">
        <v>0</v>
      </c>
      <c r="M26" s="9">
        <v>98097</v>
      </c>
      <c r="N26" s="9">
        <f t="shared" si="5"/>
        <v>32699</v>
      </c>
      <c r="O26" s="9">
        <v>65398</v>
      </c>
      <c r="P26" s="9">
        <v>133673</v>
      </c>
      <c r="Q26" s="9">
        <v>58026</v>
      </c>
      <c r="R26" s="9">
        <v>58026</v>
      </c>
      <c r="S26" s="41">
        <f>Q26/R26</f>
        <v>1</v>
      </c>
      <c r="T26" s="9">
        <f>Q26-R26</f>
        <v>0</v>
      </c>
      <c r="U26" s="9">
        <v>61319</v>
      </c>
      <c r="V26" s="9">
        <v>62820</v>
      </c>
      <c r="W26" s="13">
        <f>F26/Q26/12</f>
        <v>50.489385505348174</v>
      </c>
      <c r="X26" s="13">
        <f>L26/Q26/3</f>
        <v>0</v>
      </c>
      <c r="Y26" s="13">
        <f>M26/Q26/3</f>
        <v>0.5635232481990832</v>
      </c>
      <c r="Z26" s="13">
        <f>O26/Q26/2</f>
        <v>0.5635232481990832</v>
      </c>
      <c r="AA26" s="13">
        <f>P26/Q26/4</f>
        <v>0.5759185537517665</v>
      </c>
    </row>
    <row r="27" spans="1:27" s="23" customFormat="1" ht="12.75">
      <c r="A27" s="61" t="s">
        <v>65</v>
      </c>
      <c r="B27" s="62"/>
      <c r="C27" s="62"/>
      <c r="D27" s="62"/>
      <c r="E27" s="62"/>
      <c r="F27" s="63"/>
      <c r="G27" s="64"/>
      <c r="H27" s="63"/>
      <c r="I27" s="63"/>
      <c r="J27" s="6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W27" s="6"/>
      <c r="X27" s="60"/>
      <c r="Y27" s="60"/>
      <c r="Z27" s="60"/>
      <c r="AA27" s="60"/>
    </row>
    <row r="28" spans="1:27" s="33" customFormat="1" ht="12.75">
      <c r="A28" s="43" t="s">
        <v>66</v>
      </c>
      <c r="B28" s="44">
        <v>13000</v>
      </c>
      <c r="C28" s="44">
        <v>13000</v>
      </c>
      <c r="D28" s="44"/>
      <c r="E28" s="44"/>
      <c r="F28" s="39">
        <f>867771300-F25</f>
        <v>23395969</v>
      </c>
      <c r="G28" s="45"/>
      <c r="H28" s="39"/>
      <c r="I28" s="39"/>
      <c r="J28" s="3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W28" s="34"/>
      <c r="X28" s="34"/>
      <c r="Y28" s="34"/>
      <c r="Z28" s="34"/>
      <c r="AA28" s="34"/>
    </row>
    <row r="29" spans="1:27" s="40" customFormat="1" ht="15.75">
      <c r="A29" s="46" t="s">
        <v>73</v>
      </c>
      <c r="B29" s="32"/>
      <c r="C29" s="32"/>
      <c r="D29" s="32"/>
      <c r="E29" s="32"/>
      <c r="F29" s="9">
        <f>F25+F28</f>
        <v>867771300</v>
      </c>
      <c r="H29" s="22"/>
      <c r="I29" s="22"/>
      <c r="J29" s="22"/>
      <c r="K29" s="22"/>
      <c r="Q29" s="22"/>
      <c r="R29" s="22"/>
      <c r="S29" s="22"/>
      <c r="T29" s="22"/>
      <c r="U29" s="22"/>
      <c r="W29" s="22"/>
      <c r="X29" s="22"/>
      <c r="Y29" s="22"/>
      <c r="Z29" s="22"/>
      <c r="AA29" s="22"/>
    </row>
    <row r="30" spans="1:27" s="50" customFormat="1" ht="15.75">
      <c r="A30" s="47"/>
      <c r="B30" s="48"/>
      <c r="C30" s="48"/>
      <c r="D30" s="48"/>
      <c r="E30" s="48"/>
      <c r="F30" s="49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W30" s="48"/>
      <c r="X30" s="48"/>
      <c r="Y30" s="48"/>
      <c r="Z30" s="48"/>
      <c r="AA30" s="48"/>
    </row>
    <row r="31" spans="1:27" s="40" customFormat="1" ht="38.25">
      <c r="A31" s="52" t="s">
        <v>74</v>
      </c>
      <c r="B31" s="51">
        <f>L25/Q25/8</f>
        <v>21.37615561694637</v>
      </c>
      <c r="C31" s="32"/>
      <c r="D31" s="32"/>
      <c r="E31" s="32"/>
      <c r="F31" s="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</row>
    <row r="32" spans="1:27" s="40" customFormat="1" ht="38.25">
      <c r="A32" s="52" t="s">
        <v>75</v>
      </c>
      <c r="B32" s="51">
        <f>P25/Q25/4</f>
        <v>51.15071536492514</v>
      </c>
      <c r="C32" s="32"/>
      <c r="D32" s="32"/>
      <c r="E32" s="32"/>
      <c r="F32" s="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W32" s="22"/>
      <c r="X32" s="22"/>
      <c r="Y32" s="22"/>
      <c r="Z32" s="22"/>
      <c r="AA32" s="22"/>
    </row>
    <row r="33" spans="1:27" s="40" customFormat="1" ht="25.5">
      <c r="A33" s="52" t="s">
        <v>76</v>
      </c>
      <c r="B33" s="51">
        <f>F25/Q25/12</f>
        <v>52.8660133603907</v>
      </c>
      <c r="C33" s="32"/>
      <c r="D33" s="32"/>
      <c r="E33" s="32"/>
      <c r="F33" s="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W33" s="22"/>
      <c r="X33" s="22"/>
      <c r="Y33" s="22"/>
      <c r="Z33" s="22"/>
      <c r="AA33" s="22"/>
    </row>
    <row r="34" spans="1:27" s="3" customFormat="1" ht="12.75">
      <c r="A34" s="8" t="s">
        <v>30</v>
      </c>
      <c r="B34" s="14"/>
      <c r="C34" s="5"/>
      <c r="D34" s="5"/>
      <c r="E34" s="5"/>
      <c r="F34" s="22">
        <f>H25</f>
        <v>867588500</v>
      </c>
      <c r="G34" s="9"/>
      <c r="H34" s="9"/>
      <c r="I34" s="9"/>
      <c r="J34" s="9"/>
      <c r="K34" s="9"/>
      <c r="L34" s="9"/>
      <c r="M34" s="9"/>
      <c r="N34" s="9"/>
      <c r="O34" s="9"/>
      <c r="P34" s="9"/>
      <c r="W34" s="5"/>
      <c r="X34" s="5"/>
      <c r="Y34" s="5"/>
      <c r="Z34" s="5"/>
      <c r="AA34" s="5"/>
    </row>
    <row r="35" spans="1:6" ht="12.75">
      <c r="A35" s="29"/>
      <c r="B35" s="31"/>
      <c r="F35" s="38"/>
    </row>
    <row r="36" spans="1:6" ht="12.75">
      <c r="A36" s="29"/>
      <c r="B36" s="31"/>
      <c r="F36" s="38"/>
    </row>
    <row r="42" ht="12.75">
      <c r="A42" s="42"/>
    </row>
    <row r="46" ht="12.75">
      <c r="A46" s="35">
        <f>F25-F28-F22</f>
        <v>785822997</v>
      </c>
    </row>
    <row r="47" ht="12.75">
      <c r="A47" s="36">
        <f>A46/F25</f>
        <v>0.9306560342890927</v>
      </c>
    </row>
  </sheetData>
  <sheetProtection/>
  <mergeCells count="5">
    <mergeCell ref="A1:AC1"/>
    <mergeCell ref="A2:AC2"/>
    <mergeCell ref="R8:R10"/>
    <mergeCell ref="T8:T10"/>
    <mergeCell ref="S8:S10"/>
  </mergeCells>
  <printOptions horizontalCentered="1"/>
  <pageMargins left="0.2362204724409449" right="0.2362204724409449" top="0.31496062992125984" bottom="0.2755905511811024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"/>
  <sheetViews>
    <sheetView zoomScalePageLayoutView="0" workbookViewId="0" topLeftCell="C1">
      <selection activeCell="M27" sqref="M27:Q27"/>
    </sheetView>
  </sheetViews>
  <sheetFormatPr defaultColWidth="9.00390625" defaultRowHeight="12.75"/>
  <cols>
    <col min="1" max="1" width="18.25390625" style="0" customWidth="1"/>
    <col min="2" max="2" width="12.625" style="1" customWidth="1"/>
    <col min="3" max="3" width="12.00390625" style="1" customWidth="1"/>
    <col min="4" max="6" width="14.25390625" style="1" customWidth="1"/>
    <col min="7" max="14" width="14.25390625" style="0" customWidth="1"/>
    <col min="15" max="15" width="11.25390625" style="0" customWidth="1"/>
  </cols>
  <sheetData>
    <row r="1" spans="1:14" ht="12.75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62.25" customHeight="1">
      <c r="A2" s="17" t="s">
        <v>43</v>
      </c>
      <c r="B2" s="4" t="s">
        <v>55</v>
      </c>
      <c r="C2" s="4" t="s">
        <v>56</v>
      </c>
      <c r="D2" s="4" t="s">
        <v>57</v>
      </c>
      <c r="E2" s="4" t="s">
        <v>58</v>
      </c>
      <c r="F2" s="4" t="s">
        <v>48</v>
      </c>
      <c r="G2" s="4" t="s">
        <v>49</v>
      </c>
      <c r="H2" s="4" t="s">
        <v>50</v>
      </c>
      <c r="I2" s="18" t="s">
        <v>60</v>
      </c>
      <c r="J2" s="18" t="s">
        <v>61</v>
      </c>
      <c r="K2" s="18" t="s">
        <v>59</v>
      </c>
      <c r="L2" s="18" t="s">
        <v>51</v>
      </c>
      <c r="M2" s="18" t="s">
        <v>52</v>
      </c>
      <c r="N2" s="18" t="s">
        <v>53</v>
      </c>
    </row>
    <row r="3" spans="1:14" ht="30" customHeight="1">
      <c r="A3" s="7" t="s">
        <v>44</v>
      </c>
      <c r="B3" s="163">
        <f>F3+F4+F5+F6</f>
        <v>410258</v>
      </c>
      <c r="C3" s="163">
        <v>13000</v>
      </c>
      <c r="D3" s="13">
        <v>109675</v>
      </c>
      <c r="E3" s="13">
        <v>54824</v>
      </c>
      <c r="F3" s="13">
        <v>164499</v>
      </c>
      <c r="G3" s="13">
        <v>2111.57</v>
      </c>
      <c r="H3" s="13">
        <v>2153.29</v>
      </c>
      <c r="I3" s="13">
        <v>231585736</v>
      </c>
      <c r="J3" s="13">
        <v>118052689</v>
      </c>
      <c r="K3" s="13">
        <v>349638425</v>
      </c>
      <c r="L3" s="13">
        <f aca="true" t="shared" si="0" ref="L3:N6">I3/D3</f>
        <v>2111.563583314338</v>
      </c>
      <c r="M3" s="13">
        <f t="shared" si="0"/>
        <v>2153.303097183715</v>
      </c>
      <c r="N3" s="13">
        <f t="shared" si="0"/>
        <v>2125.4744709694282</v>
      </c>
    </row>
    <row r="4" spans="1:14" ht="30" customHeight="1">
      <c r="A4" s="7" t="s">
        <v>45</v>
      </c>
      <c r="B4" s="164"/>
      <c r="C4" s="164"/>
      <c r="D4" s="13">
        <v>99635</v>
      </c>
      <c r="E4" s="13">
        <v>49816</v>
      </c>
      <c r="F4" s="13">
        <v>149451</v>
      </c>
      <c r="G4" s="13">
        <v>1898.41</v>
      </c>
      <c r="H4" s="13">
        <v>1935.98</v>
      </c>
      <c r="I4" s="13">
        <v>189147448</v>
      </c>
      <c r="J4" s="13">
        <v>96443425</v>
      </c>
      <c r="K4" s="13">
        <v>285590873</v>
      </c>
      <c r="L4" s="13">
        <f t="shared" si="0"/>
        <v>1898.4036533346716</v>
      </c>
      <c r="M4" s="13">
        <f t="shared" si="0"/>
        <v>1935.992954070981</v>
      </c>
      <c r="N4" s="13">
        <f t="shared" si="0"/>
        <v>1910.9331687308884</v>
      </c>
    </row>
    <row r="5" spans="1:14" ht="30" customHeight="1">
      <c r="A5" s="7" t="s">
        <v>46</v>
      </c>
      <c r="B5" s="164"/>
      <c r="C5" s="164"/>
      <c r="D5" s="13">
        <v>32773</v>
      </c>
      <c r="E5" s="13">
        <v>16384</v>
      </c>
      <c r="F5" s="13">
        <v>49157</v>
      </c>
      <c r="G5" s="13">
        <v>2255.68</v>
      </c>
      <c r="H5" s="13">
        <v>2310.39</v>
      </c>
      <c r="I5" s="13">
        <v>73926153</v>
      </c>
      <c r="J5" s="13">
        <v>37852660</v>
      </c>
      <c r="K5" s="13">
        <v>111778812</v>
      </c>
      <c r="L5" s="13">
        <f t="shared" si="0"/>
        <v>2255.702956702163</v>
      </c>
      <c r="M5" s="13">
        <f t="shared" si="0"/>
        <v>2310.343017578125</v>
      </c>
      <c r="N5" s="13">
        <f t="shared" si="0"/>
        <v>2273.9144374148136</v>
      </c>
    </row>
    <row r="6" spans="1:14" ht="30" customHeight="1">
      <c r="A6" s="7" t="s">
        <v>47</v>
      </c>
      <c r="B6" s="165"/>
      <c r="C6" s="165"/>
      <c r="D6" s="13">
        <v>31440</v>
      </c>
      <c r="E6" s="13">
        <v>15711</v>
      </c>
      <c r="F6" s="13">
        <v>47151</v>
      </c>
      <c r="G6" s="13">
        <v>2030.75</v>
      </c>
      <c r="H6" s="13">
        <v>2079.96</v>
      </c>
      <c r="I6" s="13">
        <v>63846780</v>
      </c>
      <c r="J6" s="13">
        <v>32678252</v>
      </c>
      <c r="K6" s="13">
        <v>96525031</v>
      </c>
      <c r="L6" s="13">
        <f t="shared" si="0"/>
        <v>2030.75</v>
      </c>
      <c r="M6" s="13">
        <f t="shared" si="0"/>
        <v>2079.9600280058557</v>
      </c>
      <c r="N6" s="13">
        <f t="shared" si="0"/>
        <v>2047.1470594473076</v>
      </c>
    </row>
    <row r="7" spans="1:26" s="20" customFormat="1" ht="12.75">
      <c r="A7" s="19" t="s">
        <v>62</v>
      </c>
      <c r="B7" s="166">
        <f>B3+C3</f>
        <v>423258</v>
      </c>
      <c r="C7" s="167"/>
      <c r="D7" s="27">
        <f>SUM(D3:D6)</f>
        <v>273523</v>
      </c>
      <c r="E7" s="27">
        <f>SUM(E3:E6)</f>
        <v>136735</v>
      </c>
      <c r="F7" s="27">
        <f>SUM(F3:F6)</f>
        <v>410258</v>
      </c>
      <c r="G7" s="27"/>
      <c r="H7" s="27"/>
      <c r="I7" s="27">
        <f>SUM(I3:I6)</f>
        <v>558506117</v>
      </c>
      <c r="J7" s="27">
        <f>SUM(J3:J6)</f>
        <v>285027026</v>
      </c>
      <c r="K7" s="27">
        <f>SUM(K3:K6)</f>
        <v>843533141</v>
      </c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</sheetData>
  <sheetProtection/>
  <mergeCells count="4">
    <mergeCell ref="B3:B6"/>
    <mergeCell ref="C3:C6"/>
    <mergeCell ref="A1:N1"/>
    <mergeCell ref="B7:C7"/>
  </mergeCells>
  <printOptions/>
  <pageMargins left="0.1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7" sqref="M27:Q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8" t="s">
        <v>122</v>
      </c>
      <c r="B1" s="168"/>
      <c r="C1" s="168"/>
      <c r="D1" s="168"/>
      <c r="E1" s="168"/>
      <c r="F1" s="168"/>
      <c r="G1" s="168"/>
      <c r="H1" s="168"/>
      <c r="I1" s="168"/>
    </row>
    <row r="2" spans="1:9" ht="81.75" customHeight="1">
      <c r="A2" s="53" t="s">
        <v>0</v>
      </c>
      <c r="B2" s="54" t="s">
        <v>135</v>
      </c>
      <c r="C2" s="54" t="s">
        <v>81</v>
      </c>
      <c r="D2" s="54" t="s">
        <v>120</v>
      </c>
      <c r="E2" s="54" t="s">
        <v>121</v>
      </c>
      <c r="F2" s="54" t="s">
        <v>125</v>
      </c>
      <c r="G2" s="54" t="s">
        <v>105</v>
      </c>
      <c r="H2" s="54" t="s">
        <v>82</v>
      </c>
      <c r="I2" s="54" t="s">
        <v>118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50225</v>
      </c>
      <c r="E4" s="72">
        <v>50694</v>
      </c>
      <c r="F4" s="72">
        <f>(D4+E4)/2</f>
        <v>50459.5</v>
      </c>
      <c r="G4" s="74">
        <v>83.5399803430541</v>
      </c>
      <c r="H4" s="73">
        <f>C4/F4</f>
        <v>0.9813018361260021</v>
      </c>
      <c r="I4" s="73">
        <f>G4*H4</f>
        <v>81.97793610056911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37108</v>
      </c>
      <c r="E5" s="72">
        <v>37792</v>
      </c>
      <c r="F5" s="72">
        <f aca="true" t="shared" si="0" ref="F5:F23">(D5+E5)/2</f>
        <v>37450</v>
      </c>
      <c r="G5" s="74">
        <v>54.45304042408489</v>
      </c>
      <c r="H5" s="73">
        <f aca="true" t="shared" si="1" ref="H5:H23">C5/F5</f>
        <v>0.9553805073431242</v>
      </c>
      <c r="I5" s="73">
        <f aca="true" t="shared" si="2" ref="I5:I23">G5*H5</f>
        <v>52.02337338673787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78085</v>
      </c>
      <c r="E6" s="72">
        <v>78830</v>
      </c>
      <c r="F6" s="72">
        <f t="shared" si="0"/>
        <v>78457.5</v>
      </c>
      <c r="G6" s="74">
        <v>59.987043876952136</v>
      </c>
      <c r="H6" s="73">
        <f t="shared" si="1"/>
        <v>0.9627760252365931</v>
      </c>
      <c r="I6" s="73">
        <f t="shared" si="2"/>
        <v>57.754087669545086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108945</v>
      </c>
      <c r="E7" s="72">
        <v>120577</v>
      </c>
      <c r="F7" s="72">
        <f t="shared" si="0"/>
        <v>114761</v>
      </c>
      <c r="G7" s="74">
        <v>46.781466484050895</v>
      </c>
      <c r="H7" s="73">
        <f t="shared" si="1"/>
        <v>0.8779811957023728</v>
      </c>
      <c r="I7" s="73">
        <f t="shared" si="2"/>
        <v>41.07324788037748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41786</v>
      </c>
      <c r="E8" s="72">
        <v>43051</v>
      </c>
      <c r="F8" s="72">
        <f t="shared" si="0"/>
        <v>42418.5</v>
      </c>
      <c r="G8" s="74">
        <v>62.26841416571694</v>
      </c>
      <c r="H8" s="73">
        <f t="shared" si="1"/>
        <v>0.930843853507314</v>
      </c>
      <c r="I8" s="73">
        <f t="shared" si="2"/>
        <v>57.962170593805375</v>
      </c>
    </row>
    <row r="9" spans="1:9" ht="27" customHeight="1">
      <c r="A9" s="55" t="s">
        <v>88</v>
      </c>
      <c r="B9" s="69">
        <v>1688001</v>
      </c>
      <c r="C9" s="69">
        <v>21669</v>
      </c>
      <c r="D9" s="9">
        <v>23262</v>
      </c>
      <c r="E9" s="9">
        <v>24033</v>
      </c>
      <c r="F9" s="72">
        <f t="shared" si="0"/>
        <v>23647.5</v>
      </c>
      <c r="G9" s="74">
        <v>77.89933391788577</v>
      </c>
      <c r="H9" s="73">
        <f t="shared" si="1"/>
        <v>0.9163336504915953</v>
      </c>
      <c r="I9" s="73">
        <f t="shared" si="2"/>
        <v>71.38178101984002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158388</v>
      </c>
      <c r="E10" s="9">
        <v>160353</v>
      </c>
      <c r="F10" s="72">
        <f t="shared" si="0"/>
        <v>159370.5</v>
      </c>
      <c r="G10" s="74">
        <v>59.46159598402975</v>
      </c>
      <c r="H10" s="73">
        <f t="shared" si="1"/>
        <v>0.9649590106073583</v>
      </c>
      <c r="I10" s="73">
        <f t="shared" si="2"/>
        <v>57.37800282988382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182799</v>
      </c>
      <c r="E11" s="9">
        <v>186347</v>
      </c>
      <c r="F11" s="72">
        <f t="shared" si="0"/>
        <v>184573</v>
      </c>
      <c r="G11" s="74">
        <v>47.598919917737476</v>
      </c>
      <c r="H11" s="73">
        <f t="shared" si="1"/>
        <v>0.9343511781246444</v>
      </c>
      <c r="I11" s="73">
        <f t="shared" si="2"/>
        <v>44.47410690259861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76769</v>
      </c>
      <c r="E12" s="9">
        <v>77877</v>
      </c>
      <c r="F12" s="72">
        <f t="shared" si="0"/>
        <v>77323</v>
      </c>
      <c r="G12" s="74">
        <v>65.94746292063746</v>
      </c>
      <c r="H12" s="73">
        <f t="shared" si="1"/>
        <v>0.9675904970060655</v>
      </c>
      <c r="I12" s="73">
        <f t="shared" si="2"/>
        <v>63.810138423668676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64331</v>
      </c>
      <c r="E13" s="9">
        <v>65138</v>
      </c>
      <c r="F13" s="72">
        <f t="shared" si="0"/>
        <v>64734.5</v>
      </c>
      <c r="G13" s="74">
        <v>64.12012380567892</v>
      </c>
      <c r="H13" s="73">
        <f t="shared" si="1"/>
        <v>0.9565996493369069</v>
      </c>
      <c r="I13" s="73">
        <f t="shared" si="2"/>
        <v>61.33728794795151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79264</v>
      </c>
      <c r="E14" s="9">
        <v>81057</v>
      </c>
      <c r="F14" s="72">
        <f t="shared" si="0"/>
        <v>80160.5</v>
      </c>
      <c r="G14" s="74">
        <v>56.88022227252352</v>
      </c>
      <c r="H14" s="73">
        <f t="shared" si="1"/>
        <v>0.9369078286687333</v>
      </c>
      <c r="I14" s="73">
        <f t="shared" si="2"/>
        <v>53.291525543544935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28449</v>
      </c>
      <c r="E15" s="9">
        <v>28919</v>
      </c>
      <c r="F15" s="72">
        <f t="shared" si="0"/>
        <v>28684</v>
      </c>
      <c r="G15" s="74">
        <v>83.28555965021101</v>
      </c>
      <c r="H15" s="73">
        <f t="shared" si="1"/>
        <v>0.9554804071956492</v>
      </c>
      <c r="I15" s="73">
        <f t="shared" si="2"/>
        <v>79.57772044810115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50661</v>
      </c>
      <c r="E16" s="9">
        <v>51786</v>
      </c>
      <c r="F16" s="72">
        <f t="shared" si="0"/>
        <v>51223.5</v>
      </c>
      <c r="G16" s="74">
        <v>61.71776715642886</v>
      </c>
      <c r="H16" s="73">
        <f t="shared" si="1"/>
        <v>0.9925327242378986</v>
      </c>
      <c r="I16" s="73">
        <f t="shared" si="2"/>
        <v>61.256903569650646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65768</v>
      </c>
      <c r="E17" s="9">
        <v>66856</v>
      </c>
      <c r="F17" s="72">
        <f t="shared" si="0"/>
        <v>66312</v>
      </c>
      <c r="G17" s="74">
        <v>54.06101820767839</v>
      </c>
      <c r="H17" s="73">
        <f t="shared" si="1"/>
        <v>0.9613041380142358</v>
      </c>
      <c r="I17" s="73">
        <f t="shared" si="2"/>
        <v>51.969080508304174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29413</v>
      </c>
      <c r="E18" s="9">
        <v>29891</v>
      </c>
      <c r="F18" s="72">
        <f>(D18+E18)/2</f>
        <v>29652</v>
      </c>
      <c r="G18" s="74">
        <v>93.12947926064727</v>
      </c>
      <c r="H18" s="73">
        <f t="shared" si="1"/>
        <v>0.971873735329826</v>
      </c>
      <c r="I18" s="73">
        <f t="shared" si="2"/>
        <v>90.51009487836683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50199</v>
      </c>
      <c r="E19" s="9">
        <v>51175</v>
      </c>
      <c r="F19" s="72">
        <f t="shared" si="0"/>
        <v>50687</v>
      </c>
      <c r="G19" s="74">
        <v>57.74670625981295</v>
      </c>
      <c r="H19" s="73">
        <f t="shared" si="1"/>
        <v>0.9633633870617713</v>
      </c>
      <c r="I19" s="73">
        <f t="shared" si="2"/>
        <v>55.6310625341146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39072</v>
      </c>
      <c r="E20" s="9">
        <v>39766</v>
      </c>
      <c r="F20" s="72">
        <f t="shared" si="0"/>
        <v>39419</v>
      </c>
      <c r="G20" s="74">
        <v>58.97505820896805</v>
      </c>
      <c r="H20" s="73">
        <f t="shared" si="1"/>
        <v>0.9842208072249423</v>
      </c>
      <c r="I20" s="73">
        <f t="shared" si="2"/>
        <v>58.0444793965685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61319</v>
      </c>
      <c r="E21" s="9">
        <v>62820</v>
      </c>
      <c r="F21" s="72">
        <f t="shared" si="0"/>
        <v>62069.5</v>
      </c>
      <c r="G21" s="74">
        <v>57.02040464619309</v>
      </c>
      <c r="H21" s="73">
        <f t="shared" si="1"/>
        <v>0.934855283190617</v>
      </c>
      <c r="I21" s="73">
        <f t="shared" si="2"/>
        <v>53.30582653316041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68304</v>
      </c>
      <c r="E22" s="9">
        <v>69162</v>
      </c>
      <c r="F22" s="72">
        <f t="shared" si="0"/>
        <v>68733</v>
      </c>
      <c r="G22" s="74">
        <v>70.77677673145801</v>
      </c>
      <c r="H22" s="73">
        <f t="shared" si="1"/>
        <v>0.9640783902928725</v>
      </c>
      <c r="I22" s="73">
        <f t="shared" si="2"/>
        <v>68.23436098138207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89041</v>
      </c>
      <c r="E23" s="9">
        <v>90899</v>
      </c>
      <c r="F23" s="72">
        <f t="shared" si="0"/>
        <v>89970</v>
      </c>
      <c r="G23" s="74">
        <v>51.60991090931964</v>
      </c>
      <c r="H23" s="73">
        <f t="shared" si="1"/>
        <v>0.9718684005779704</v>
      </c>
      <c r="I23" s="73">
        <f t="shared" si="2"/>
        <v>50.15804156941202</v>
      </c>
    </row>
    <row r="24" spans="1:8" ht="15.75">
      <c r="A24" s="58" t="s">
        <v>62</v>
      </c>
      <c r="B24" s="70">
        <f>SUM(B4:B23)</f>
        <v>79175488</v>
      </c>
      <c r="C24" s="70">
        <f>SUM(C4:C23)</f>
        <v>1330999</v>
      </c>
      <c r="D24" s="70">
        <f>SUM(D4:D23)</f>
        <v>1383188</v>
      </c>
      <c r="E24" s="70">
        <f>SUM(E4:E23)</f>
        <v>1417023</v>
      </c>
      <c r="F24" s="70">
        <f>SUM(F4:F23)</f>
        <v>1400105.5</v>
      </c>
      <c r="G24" s="70"/>
      <c r="H24" s="70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1" ySplit="2" topLeftCell="B3" activePane="bottomRight" state="frozen"/>
      <selection pane="topLeft" activeCell="M27" sqref="M27:Q27"/>
      <selection pane="topRight" activeCell="M27" sqref="M27:Q27"/>
      <selection pane="bottomLeft" activeCell="M27" sqref="M27:Q27"/>
      <selection pane="bottomRight" activeCell="M27" sqref="M27:Q27"/>
    </sheetView>
  </sheetViews>
  <sheetFormatPr defaultColWidth="9.00390625" defaultRowHeight="12.75"/>
  <cols>
    <col min="1" max="1" width="28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8" t="s">
        <v>122</v>
      </c>
      <c r="B1" s="168"/>
      <c r="C1" s="168"/>
      <c r="D1" s="168"/>
      <c r="E1" s="168"/>
      <c r="F1" s="168"/>
      <c r="G1" s="168"/>
      <c r="H1" s="168"/>
      <c r="I1" s="168"/>
    </row>
    <row r="2" spans="1:9" ht="81.75" customHeight="1">
      <c r="A2" s="53" t="s">
        <v>0</v>
      </c>
      <c r="B2" s="54" t="s">
        <v>135</v>
      </c>
      <c r="C2" s="54" t="s">
        <v>81</v>
      </c>
      <c r="D2" s="54" t="s">
        <v>120</v>
      </c>
      <c r="E2" s="54" t="s">
        <v>121</v>
      </c>
      <c r="F2" s="54" t="s">
        <v>125</v>
      </c>
      <c r="G2" s="54" t="s">
        <v>105</v>
      </c>
      <c r="H2" s="54" t="s">
        <v>82</v>
      </c>
      <c r="I2" s="54" t="s">
        <v>118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50225</v>
      </c>
      <c r="E4" s="72">
        <v>50694</v>
      </c>
      <c r="F4" s="72">
        <f aca="true" t="shared" si="0" ref="F4:F23">(D4+E4)/2</f>
        <v>50459.5</v>
      </c>
      <c r="G4" s="74">
        <v>83.5399803430541</v>
      </c>
      <c r="H4" s="73">
        <f aca="true" t="shared" si="1" ref="H4:H23">C4/F4</f>
        <v>0.9813018361260021</v>
      </c>
      <c r="I4" s="73">
        <f aca="true" t="shared" si="2" ref="I4:I23">G4*H4</f>
        <v>81.97793610056911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37108</v>
      </c>
      <c r="E5" s="72">
        <v>37792</v>
      </c>
      <c r="F5" s="72">
        <f t="shared" si="0"/>
        <v>37450</v>
      </c>
      <c r="G5" s="74">
        <v>54.45304042408489</v>
      </c>
      <c r="H5" s="73">
        <f t="shared" si="1"/>
        <v>0.9553805073431242</v>
      </c>
      <c r="I5" s="73">
        <f t="shared" si="2"/>
        <v>52.02337338673787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78085</v>
      </c>
      <c r="E6" s="72">
        <v>78830</v>
      </c>
      <c r="F6" s="72">
        <f t="shared" si="0"/>
        <v>78457.5</v>
      </c>
      <c r="G6" s="74">
        <v>59.987043876952136</v>
      </c>
      <c r="H6" s="73">
        <f t="shared" si="1"/>
        <v>0.9627760252365931</v>
      </c>
      <c r="I6" s="73">
        <f t="shared" si="2"/>
        <v>57.754087669545086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108945</v>
      </c>
      <c r="E7" s="72">
        <v>120577</v>
      </c>
      <c r="F7" s="72">
        <f t="shared" si="0"/>
        <v>114761</v>
      </c>
      <c r="G7" s="74">
        <v>46.781466484050895</v>
      </c>
      <c r="H7" s="73">
        <f t="shared" si="1"/>
        <v>0.8779811957023728</v>
      </c>
      <c r="I7" s="73">
        <f t="shared" si="2"/>
        <v>41.07324788037748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41786</v>
      </c>
      <c r="E8" s="72">
        <v>43051</v>
      </c>
      <c r="F8" s="72">
        <f t="shared" si="0"/>
        <v>42418.5</v>
      </c>
      <c r="G8" s="74">
        <v>62.26841416571694</v>
      </c>
      <c r="H8" s="73">
        <f t="shared" si="1"/>
        <v>0.930843853507314</v>
      </c>
      <c r="I8" s="73">
        <f t="shared" si="2"/>
        <v>57.962170593805375</v>
      </c>
    </row>
    <row r="9" spans="1:9" ht="27" customHeight="1">
      <c r="A9" s="55" t="s">
        <v>88</v>
      </c>
      <c r="B9" s="69">
        <f>5076671/3</f>
        <v>1692223.6666666667</v>
      </c>
      <c r="C9" s="69">
        <v>21669</v>
      </c>
      <c r="D9" s="9">
        <v>23262</v>
      </c>
      <c r="E9" s="9">
        <v>24033</v>
      </c>
      <c r="F9" s="72">
        <f t="shared" si="0"/>
        <v>23647.5</v>
      </c>
      <c r="G9" s="74">
        <v>78.09</v>
      </c>
      <c r="H9" s="73">
        <f>C9/F9</f>
        <v>0.9163336504915953</v>
      </c>
      <c r="I9" s="73">
        <f t="shared" si="2"/>
        <v>71.55649476688868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158388</v>
      </c>
      <c r="E10" s="9">
        <v>160353</v>
      </c>
      <c r="F10" s="72">
        <f t="shared" si="0"/>
        <v>159370.5</v>
      </c>
      <c r="G10" s="74">
        <v>59.46159598402975</v>
      </c>
      <c r="H10" s="73">
        <f t="shared" si="1"/>
        <v>0.9649590106073583</v>
      </c>
      <c r="I10" s="73">
        <f t="shared" si="2"/>
        <v>57.37800282988382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182799</v>
      </c>
      <c r="E11" s="9">
        <v>186347</v>
      </c>
      <c r="F11" s="72">
        <f t="shared" si="0"/>
        <v>184573</v>
      </c>
      <c r="G11" s="74">
        <v>47.598919917737476</v>
      </c>
      <c r="H11" s="73">
        <f t="shared" si="1"/>
        <v>0.9343511781246444</v>
      </c>
      <c r="I11" s="73">
        <f t="shared" si="2"/>
        <v>44.47410690259861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76769</v>
      </c>
      <c r="E12" s="9">
        <v>77877</v>
      </c>
      <c r="F12" s="72">
        <f t="shared" si="0"/>
        <v>77323</v>
      </c>
      <c r="G12" s="74">
        <v>65.94746292063746</v>
      </c>
      <c r="H12" s="73">
        <f t="shared" si="1"/>
        <v>0.9675904970060655</v>
      </c>
      <c r="I12" s="73">
        <f t="shared" si="2"/>
        <v>63.810138423668676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64331</v>
      </c>
      <c r="E13" s="9">
        <v>65138</v>
      </c>
      <c r="F13" s="72">
        <f t="shared" si="0"/>
        <v>64734.5</v>
      </c>
      <c r="G13" s="74">
        <v>64.12012380567892</v>
      </c>
      <c r="H13" s="73">
        <f t="shared" si="1"/>
        <v>0.9565996493369069</v>
      </c>
      <c r="I13" s="73">
        <f t="shared" si="2"/>
        <v>61.33728794795151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79264</v>
      </c>
      <c r="E14" s="9">
        <v>81057</v>
      </c>
      <c r="F14" s="72">
        <f t="shared" si="0"/>
        <v>80160.5</v>
      </c>
      <c r="G14" s="74">
        <v>56.88022227252352</v>
      </c>
      <c r="H14" s="73">
        <f t="shared" si="1"/>
        <v>0.9369078286687333</v>
      </c>
      <c r="I14" s="73">
        <f t="shared" si="2"/>
        <v>53.291525543544935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28449</v>
      </c>
      <c r="E15" s="9">
        <v>28919</v>
      </c>
      <c r="F15" s="72">
        <f t="shared" si="0"/>
        <v>28684</v>
      </c>
      <c r="G15" s="74">
        <v>83.28555965021101</v>
      </c>
      <c r="H15" s="73">
        <f t="shared" si="1"/>
        <v>0.9554804071956492</v>
      </c>
      <c r="I15" s="73">
        <f t="shared" si="2"/>
        <v>79.57772044810115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50661</v>
      </c>
      <c r="E16" s="9">
        <v>51786</v>
      </c>
      <c r="F16" s="72">
        <f t="shared" si="0"/>
        <v>51223.5</v>
      </c>
      <c r="G16" s="74">
        <v>61.71776715642886</v>
      </c>
      <c r="H16" s="73">
        <f t="shared" si="1"/>
        <v>0.9925327242378986</v>
      </c>
      <c r="I16" s="73">
        <f t="shared" si="2"/>
        <v>61.256903569650646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65768</v>
      </c>
      <c r="E17" s="9">
        <v>66856</v>
      </c>
      <c r="F17" s="72">
        <f t="shared" si="0"/>
        <v>66312</v>
      </c>
      <c r="G17" s="74">
        <v>54.06101820767839</v>
      </c>
      <c r="H17" s="73">
        <f t="shared" si="1"/>
        <v>0.9613041380142358</v>
      </c>
      <c r="I17" s="73">
        <f t="shared" si="2"/>
        <v>51.969080508304174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29413</v>
      </c>
      <c r="E18" s="9">
        <v>29891</v>
      </c>
      <c r="F18" s="72">
        <f t="shared" si="0"/>
        <v>29652</v>
      </c>
      <c r="G18" s="74">
        <v>93.12947926064727</v>
      </c>
      <c r="H18" s="73">
        <f t="shared" si="1"/>
        <v>0.971873735329826</v>
      </c>
      <c r="I18" s="73">
        <f t="shared" si="2"/>
        <v>90.51009487836683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50199</v>
      </c>
      <c r="E19" s="9">
        <v>51175</v>
      </c>
      <c r="F19" s="72">
        <f t="shared" si="0"/>
        <v>50687</v>
      </c>
      <c r="G19" s="74">
        <v>57.74670625981295</v>
      </c>
      <c r="H19" s="73">
        <f t="shared" si="1"/>
        <v>0.9633633870617713</v>
      </c>
      <c r="I19" s="73">
        <f t="shared" si="2"/>
        <v>55.6310625341146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39072</v>
      </c>
      <c r="E20" s="9">
        <v>39766</v>
      </c>
      <c r="F20" s="72">
        <f t="shared" si="0"/>
        <v>39419</v>
      </c>
      <c r="G20" s="74">
        <v>58.97505820896805</v>
      </c>
      <c r="H20" s="73">
        <f t="shared" si="1"/>
        <v>0.9842208072249423</v>
      </c>
      <c r="I20" s="73">
        <f t="shared" si="2"/>
        <v>58.0444793965685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61319</v>
      </c>
      <c r="E21" s="9">
        <v>62820</v>
      </c>
      <c r="F21" s="72">
        <f t="shared" si="0"/>
        <v>62069.5</v>
      </c>
      <c r="G21" s="74">
        <v>57.02040464619309</v>
      </c>
      <c r="H21" s="73">
        <f t="shared" si="1"/>
        <v>0.934855283190617</v>
      </c>
      <c r="I21" s="73">
        <f t="shared" si="2"/>
        <v>53.30582653316041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68304</v>
      </c>
      <c r="E22" s="9">
        <v>69162</v>
      </c>
      <c r="F22" s="72">
        <f t="shared" si="0"/>
        <v>68733</v>
      </c>
      <c r="G22" s="74">
        <v>70.77677673145801</v>
      </c>
      <c r="H22" s="73">
        <f t="shared" si="1"/>
        <v>0.9640783902928725</v>
      </c>
      <c r="I22" s="73">
        <f t="shared" si="2"/>
        <v>68.23436098138207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89041</v>
      </c>
      <c r="E23" s="9">
        <v>90899</v>
      </c>
      <c r="F23" s="72">
        <f t="shared" si="0"/>
        <v>89970</v>
      </c>
      <c r="G23" s="74">
        <v>51.60991090931964</v>
      </c>
      <c r="H23" s="73">
        <f t="shared" si="1"/>
        <v>0.9718684005779704</v>
      </c>
      <c r="I23" s="73">
        <f t="shared" si="2"/>
        <v>50.15804156941202</v>
      </c>
    </row>
    <row r="24" spans="1:8" ht="15.75">
      <c r="A24" s="58" t="s">
        <v>62</v>
      </c>
      <c r="B24" s="70">
        <f>SUM(B4:B23)</f>
        <v>79179710.66666667</v>
      </c>
      <c r="C24" s="70">
        <f>SUM(C4:C23)</f>
        <v>1330999</v>
      </c>
      <c r="D24" s="70">
        <f>SUM(D4:D23)</f>
        <v>1383188</v>
      </c>
      <c r="E24" s="70">
        <f>SUM(E4:E23)</f>
        <v>1417023</v>
      </c>
      <c r="F24" s="70">
        <f>SUM(F4:F23)</f>
        <v>1400105.5</v>
      </c>
      <c r="G24" s="70"/>
      <c r="H24" s="70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60" zoomScalePageLayoutView="0" workbookViewId="0" topLeftCell="A1">
      <selection activeCell="M27" sqref="M27:Q27"/>
    </sheetView>
  </sheetViews>
  <sheetFormatPr defaultColWidth="9.00390625" defaultRowHeight="12.75"/>
  <cols>
    <col min="1" max="1" width="34.875" style="0" customWidth="1"/>
    <col min="2" max="2" width="22.375" style="0" customWidth="1"/>
    <col min="3" max="3" width="27.00390625" style="0" customWidth="1"/>
  </cols>
  <sheetData>
    <row r="1" ht="12.75">
      <c r="B1" s="76" t="s">
        <v>131</v>
      </c>
    </row>
    <row r="2" ht="12.75">
      <c r="B2" s="76" t="s">
        <v>132</v>
      </c>
    </row>
    <row r="3" ht="12.75">
      <c r="B3" s="76" t="s">
        <v>133</v>
      </c>
    </row>
    <row r="4" ht="12.75">
      <c r="B4" s="75"/>
    </row>
    <row r="5" spans="1:2" ht="54.75" customHeight="1">
      <c r="A5" s="146" t="s">
        <v>122</v>
      </c>
      <c r="B5" s="146"/>
    </row>
    <row r="6" spans="1:2" ht="81.75" customHeight="1">
      <c r="A6" s="53" t="s">
        <v>0</v>
      </c>
      <c r="B6" s="54" t="s">
        <v>118</v>
      </c>
    </row>
    <row r="7" spans="1:2" ht="15.75">
      <c r="A7" s="53">
        <v>1</v>
      </c>
      <c r="B7" s="53">
        <v>2</v>
      </c>
    </row>
    <row r="8" spans="1:2" ht="22.5" customHeight="1">
      <c r="A8" s="55" t="s">
        <v>83</v>
      </c>
      <c r="B8" s="73">
        <v>81.97793610056911</v>
      </c>
    </row>
    <row r="9" spans="1:2" ht="27.75" customHeight="1">
      <c r="A9" s="55" t="s">
        <v>84</v>
      </c>
      <c r="B9" s="73">
        <v>52.02337338673787</v>
      </c>
    </row>
    <row r="10" spans="1:2" ht="25.5" customHeight="1">
      <c r="A10" s="55" t="s">
        <v>85</v>
      </c>
      <c r="B10" s="73">
        <v>57.754087669545086</v>
      </c>
    </row>
    <row r="11" spans="1:2" ht="27" customHeight="1">
      <c r="A11" s="55" t="s">
        <v>86</v>
      </c>
      <c r="B11" s="73">
        <v>41.07324788037748</v>
      </c>
    </row>
    <row r="12" spans="1:2" ht="21.75" customHeight="1">
      <c r="A12" s="55" t="s">
        <v>87</v>
      </c>
      <c r="B12" s="73">
        <v>57.962170593805375</v>
      </c>
    </row>
    <row r="13" spans="1:2" ht="27" customHeight="1">
      <c r="A13" s="55" t="s">
        <v>88</v>
      </c>
      <c r="B13" s="73">
        <v>71.38178101984002</v>
      </c>
    </row>
    <row r="14" spans="1:2" ht="33.75" customHeight="1">
      <c r="A14" s="56" t="s">
        <v>11</v>
      </c>
      <c r="B14" s="73">
        <v>57.37800282988382</v>
      </c>
    </row>
    <row r="15" spans="1:2" ht="25.5" customHeight="1">
      <c r="A15" s="55" t="s">
        <v>89</v>
      </c>
      <c r="B15" s="73">
        <v>44.47410690259861</v>
      </c>
    </row>
    <row r="16" spans="1:2" ht="36.75" customHeight="1">
      <c r="A16" s="55" t="s">
        <v>90</v>
      </c>
      <c r="B16" s="73">
        <v>63.810138423668676</v>
      </c>
    </row>
    <row r="17" spans="1:2" ht="24" customHeight="1">
      <c r="A17" s="57" t="s">
        <v>14</v>
      </c>
      <c r="B17" s="73">
        <v>61.33728794795151</v>
      </c>
    </row>
    <row r="18" spans="1:2" ht="25.5" customHeight="1">
      <c r="A18" s="55" t="s">
        <v>91</v>
      </c>
      <c r="B18" s="73">
        <v>53.291525543544935</v>
      </c>
    </row>
    <row r="19" spans="1:2" ht="24" customHeight="1">
      <c r="A19" s="56" t="s">
        <v>92</v>
      </c>
      <c r="B19" s="73">
        <v>79.57772044810115</v>
      </c>
    </row>
    <row r="20" spans="1:2" ht="24" customHeight="1">
      <c r="A20" s="55" t="s">
        <v>93</v>
      </c>
      <c r="B20" s="73">
        <v>61.256903569650646</v>
      </c>
    </row>
    <row r="21" spans="1:2" ht="23.25" customHeight="1">
      <c r="A21" s="55" t="s">
        <v>94</v>
      </c>
      <c r="B21" s="73">
        <v>51.969080508304174</v>
      </c>
    </row>
    <row r="22" spans="1:2" ht="21" customHeight="1">
      <c r="A22" s="55" t="s">
        <v>95</v>
      </c>
      <c r="B22" s="73">
        <v>90.51009487836683</v>
      </c>
    </row>
    <row r="23" spans="1:2" ht="21" customHeight="1">
      <c r="A23" s="55" t="s">
        <v>96</v>
      </c>
      <c r="B23" s="73">
        <v>55.6310625341146</v>
      </c>
    </row>
    <row r="24" spans="1:2" ht="21" customHeight="1">
      <c r="A24" s="55" t="s">
        <v>97</v>
      </c>
      <c r="B24" s="73">
        <v>58.0444793965685</v>
      </c>
    </row>
    <row r="25" spans="1:2" ht="33.75" customHeight="1">
      <c r="A25" s="55" t="s">
        <v>21</v>
      </c>
      <c r="B25" s="73">
        <v>53.30582653316041</v>
      </c>
    </row>
    <row r="26" spans="1:2" ht="22.5" customHeight="1">
      <c r="A26" s="55" t="s">
        <v>98</v>
      </c>
      <c r="B26" s="73">
        <v>68.23436098138207</v>
      </c>
    </row>
    <row r="27" spans="1:2" ht="22.5" customHeight="1">
      <c r="A27" s="55" t="s">
        <v>99</v>
      </c>
      <c r="B27" s="73">
        <v>50.15804156941202</v>
      </c>
    </row>
    <row r="28" ht="15">
      <c r="A28" s="58"/>
    </row>
  </sheetData>
  <sheetProtection/>
  <mergeCells count="1">
    <mergeCell ref="A5:B5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7" sqref="M27:Q27"/>
    </sheetView>
  </sheetViews>
  <sheetFormatPr defaultColWidth="9.00390625" defaultRowHeight="12.75"/>
  <cols>
    <col min="1" max="1" width="34.875" style="0" customWidth="1"/>
    <col min="2" max="2" width="22.625" style="0" customWidth="1"/>
    <col min="3" max="3" width="17.25390625" style="0" customWidth="1"/>
    <col min="4" max="4" width="17.625" style="1" customWidth="1"/>
    <col min="5" max="5" width="22.125" style="1" customWidth="1"/>
    <col min="6" max="6" width="24.75390625" style="0" customWidth="1"/>
    <col min="7" max="7" width="20.00390625" style="0" customWidth="1"/>
    <col min="8" max="8" width="15.875" style="0" customWidth="1"/>
    <col min="9" max="9" width="22.375" style="0" customWidth="1"/>
  </cols>
  <sheetData>
    <row r="1" spans="1:9" ht="15.75">
      <c r="A1" s="168" t="s">
        <v>130</v>
      </c>
      <c r="B1" s="168"/>
      <c r="C1" s="168"/>
      <c r="D1" s="168"/>
      <c r="E1" s="168"/>
      <c r="F1" s="168"/>
      <c r="G1" s="168"/>
      <c r="H1" s="168"/>
      <c r="I1" s="168"/>
    </row>
    <row r="2" spans="1:9" ht="81.75" customHeight="1">
      <c r="A2" s="53" t="s">
        <v>0</v>
      </c>
      <c r="B2" s="54" t="s">
        <v>124</v>
      </c>
      <c r="C2" s="54" t="s">
        <v>81</v>
      </c>
      <c r="D2" s="54" t="s">
        <v>127</v>
      </c>
      <c r="E2" s="54" t="s">
        <v>128</v>
      </c>
      <c r="F2" s="54" t="s">
        <v>129</v>
      </c>
      <c r="G2" s="54" t="s">
        <v>105</v>
      </c>
      <c r="H2" s="54" t="s">
        <v>82</v>
      </c>
      <c r="I2" s="54" t="s">
        <v>126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50694</v>
      </c>
      <c r="E4" s="72">
        <v>50903</v>
      </c>
      <c r="F4" s="72">
        <v>50798.5</v>
      </c>
      <c r="G4" s="74">
        <v>83.54</v>
      </c>
      <c r="H4" s="73">
        <v>0.97</v>
      </c>
      <c r="I4" s="73">
        <f>G4*H4</f>
        <v>81.0338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37792</v>
      </c>
      <c r="E5" s="72">
        <v>38144</v>
      </c>
      <c r="F5" s="72">
        <v>37968</v>
      </c>
      <c r="G5" s="74">
        <v>54.45</v>
      </c>
      <c r="H5" s="73">
        <v>0.94</v>
      </c>
      <c r="I5" s="73">
        <f aca="true" t="shared" si="0" ref="I5:I23">G5*H5</f>
        <v>51.183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78830</v>
      </c>
      <c r="E6" s="72">
        <v>79321</v>
      </c>
      <c r="F6" s="72">
        <v>79321</v>
      </c>
      <c r="G6" s="74">
        <v>59.99</v>
      </c>
      <c r="H6" s="73">
        <v>0.95</v>
      </c>
      <c r="I6" s="73">
        <f t="shared" si="0"/>
        <v>56.9905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120577</v>
      </c>
      <c r="E7" s="72">
        <v>122920</v>
      </c>
      <c r="F7" s="72">
        <v>121748.5</v>
      </c>
      <c r="G7" s="74">
        <v>46.78</v>
      </c>
      <c r="H7" s="73">
        <v>0.83</v>
      </c>
      <c r="I7" s="73">
        <f t="shared" si="0"/>
        <v>38.8274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43051</v>
      </c>
      <c r="E8" s="72">
        <v>43858</v>
      </c>
      <c r="F8" s="72">
        <v>43454.5</v>
      </c>
      <c r="G8" s="74">
        <v>62.27</v>
      </c>
      <c r="H8" s="73">
        <v>0.91</v>
      </c>
      <c r="I8" s="73">
        <f t="shared" si="0"/>
        <v>56.66570000000001</v>
      </c>
    </row>
    <row r="9" spans="1:9" ht="27" customHeight="1">
      <c r="A9" s="55" t="s">
        <v>88</v>
      </c>
      <c r="B9" s="69">
        <v>1692223.6666666667</v>
      </c>
      <c r="C9" s="69">
        <v>21669</v>
      </c>
      <c r="D9" s="9">
        <v>24033</v>
      </c>
      <c r="E9" s="9">
        <v>24278</v>
      </c>
      <c r="F9" s="72">
        <v>24155.5</v>
      </c>
      <c r="G9" s="74">
        <v>78.09</v>
      </c>
      <c r="H9" s="73">
        <v>0.9</v>
      </c>
      <c r="I9" s="73">
        <f t="shared" si="0"/>
        <v>70.281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160353</v>
      </c>
      <c r="E10" s="9">
        <v>160994</v>
      </c>
      <c r="F10" s="72">
        <v>160673.5</v>
      </c>
      <c r="G10" s="74">
        <v>59.46</v>
      </c>
      <c r="H10" s="73">
        <v>0.96</v>
      </c>
      <c r="I10" s="73">
        <f t="shared" si="0"/>
        <v>57.0816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186347</v>
      </c>
      <c r="E11" s="9">
        <v>188931</v>
      </c>
      <c r="F11" s="72">
        <v>187639</v>
      </c>
      <c r="G11" s="74">
        <v>47.6</v>
      </c>
      <c r="H11" s="73">
        <v>0.92</v>
      </c>
      <c r="I11" s="73">
        <f>G11*H11</f>
        <v>43.792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77877</v>
      </c>
      <c r="E12" s="9">
        <v>78536</v>
      </c>
      <c r="F12" s="72">
        <v>78206.5</v>
      </c>
      <c r="G12" s="74">
        <v>65.95</v>
      </c>
      <c r="H12" s="73">
        <v>0.96</v>
      </c>
      <c r="I12" s="73">
        <f t="shared" si="0"/>
        <v>63.312</v>
      </c>
    </row>
    <row r="13" spans="1:9" ht="24" customHeight="1">
      <c r="A13" s="57" t="s">
        <v>14</v>
      </c>
      <c r="B13" s="69">
        <v>3970639</v>
      </c>
      <c r="C13" s="69">
        <v>61925</v>
      </c>
      <c r="D13" s="9">
        <v>65138</v>
      </c>
      <c r="E13" s="9">
        <v>65571</v>
      </c>
      <c r="F13" s="72">
        <v>65354.5</v>
      </c>
      <c r="G13" s="74">
        <v>64.12</v>
      </c>
      <c r="H13" s="73">
        <v>0.95</v>
      </c>
      <c r="I13" s="73">
        <f t="shared" si="0"/>
        <v>60.914</v>
      </c>
    </row>
    <row r="14" spans="1:9" ht="25.5" customHeight="1">
      <c r="A14" s="55" t="s">
        <v>91</v>
      </c>
      <c r="B14" s="69">
        <v>4271875</v>
      </c>
      <c r="C14" s="69">
        <v>75103</v>
      </c>
      <c r="D14" s="9">
        <v>81057</v>
      </c>
      <c r="E14" s="9">
        <v>82149</v>
      </c>
      <c r="F14" s="72">
        <v>81603</v>
      </c>
      <c r="G14" s="74">
        <v>56.88</v>
      </c>
      <c r="H14" s="73">
        <v>0.92</v>
      </c>
      <c r="I14" s="73">
        <f t="shared" si="0"/>
        <v>52.329600000000006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28919</v>
      </c>
      <c r="E15" s="9">
        <v>29148</v>
      </c>
      <c r="F15" s="72">
        <v>29033.5</v>
      </c>
      <c r="G15" s="74">
        <v>83.29</v>
      </c>
      <c r="H15" s="73">
        <v>0.94</v>
      </c>
      <c r="I15" s="73">
        <f t="shared" si="0"/>
        <v>78.29260000000001</v>
      </c>
    </row>
    <row r="16" spans="1:9" ht="24" customHeight="1">
      <c r="A16" s="55" t="s">
        <v>93</v>
      </c>
      <c r="B16" s="69">
        <v>3137793</v>
      </c>
      <c r="C16" s="69">
        <v>50841</v>
      </c>
      <c r="D16" s="9">
        <v>51786</v>
      </c>
      <c r="E16" s="9">
        <v>52407</v>
      </c>
      <c r="F16" s="72">
        <v>52096.5</v>
      </c>
      <c r="G16" s="74">
        <v>61.72</v>
      </c>
      <c r="H16" s="73">
        <v>0.98</v>
      </c>
      <c r="I16" s="73">
        <f t="shared" si="0"/>
        <v>60.4856</v>
      </c>
    </row>
    <row r="17" spans="1:9" ht="23.25" customHeight="1">
      <c r="A17" s="55" t="s">
        <v>94</v>
      </c>
      <c r="B17" s="69">
        <v>3446174</v>
      </c>
      <c r="C17" s="69">
        <v>63746</v>
      </c>
      <c r="D17" s="9">
        <v>66856</v>
      </c>
      <c r="E17" s="9">
        <v>67551</v>
      </c>
      <c r="F17" s="72">
        <v>67203.5</v>
      </c>
      <c r="G17" s="74">
        <v>54.06</v>
      </c>
      <c r="H17" s="73">
        <v>0.95</v>
      </c>
      <c r="I17" s="73">
        <f t="shared" si="0"/>
        <v>51.357</v>
      </c>
    </row>
    <row r="18" spans="1:9" ht="21" customHeight="1">
      <c r="A18" s="55" t="s">
        <v>95</v>
      </c>
      <c r="B18" s="69">
        <v>2683805</v>
      </c>
      <c r="C18" s="69">
        <v>28818</v>
      </c>
      <c r="D18" s="9">
        <v>29891</v>
      </c>
      <c r="E18" s="9">
        <v>30046</v>
      </c>
      <c r="F18" s="72">
        <v>29968.5</v>
      </c>
      <c r="G18" s="74">
        <v>93.13</v>
      </c>
      <c r="H18" s="73">
        <v>0.96</v>
      </c>
      <c r="I18" s="73">
        <f t="shared" si="0"/>
        <v>89.4048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51175</v>
      </c>
      <c r="E19" s="9">
        <v>51593</v>
      </c>
      <c r="F19" s="72">
        <v>51384</v>
      </c>
      <c r="G19" s="74">
        <v>57.75</v>
      </c>
      <c r="H19" s="73">
        <v>0.95</v>
      </c>
      <c r="I19" s="73">
        <f t="shared" si="0"/>
        <v>54.8625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39766</v>
      </c>
      <c r="E20" s="9">
        <v>40059</v>
      </c>
      <c r="F20" s="72">
        <v>39912.5</v>
      </c>
      <c r="G20" s="74">
        <v>58.98</v>
      </c>
      <c r="H20" s="73">
        <v>0.97</v>
      </c>
      <c r="I20" s="73">
        <f t="shared" si="0"/>
        <v>57.21059999999999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62820</v>
      </c>
      <c r="E21" s="9">
        <v>63487</v>
      </c>
      <c r="F21" s="72">
        <v>63153.5</v>
      </c>
      <c r="G21" s="74">
        <v>57.02</v>
      </c>
      <c r="H21" s="73">
        <v>0.92</v>
      </c>
      <c r="I21" s="73">
        <f t="shared" si="0"/>
        <v>52.458400000000005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69162</v>
      </c>
      <c r="E22" s="9">
        <v>69620</v>
      </c>
      <c r="F22" s="72">
        <v>69391</v>
      </c>
      <c r="G22" s="74">
        <v>70.78</v>
      </c>
      <c r="H22" s="73">
        <v>0.95</v>
      </c>
      <c r="I22" s="73">
        <f t="shared" si="0"/>
        <v>67.241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90899</v>
      </c>
      <c r="E23" s="9">
        <v>91725</v>
      </c>
      <c r="F23" s="72">
        <v>91312</v>
      </c>
      <c r="G23" s="74">
        <v>51.61</v>
      </c>
      <c r="H23" s="73">
        <v>0.96</v>
      </c>
      <c r="I23" s="73">
        <f t="shared" si="0"/>
        <v>49.5456</v>
      </c>
    </row>
    <row r="24" spans="1:8" ht="15.75">
      <c r="A24" s="58" t="s">
        <v>62</v>
      </c>
      <c r="B24" s="70">
        <f>SUM(B4:B23)</f>
        <v>79179710.66666667</v>
      </c>
      <c r="C24" s="70">
        <f>SUM(C4:C23)</f>
        <v>1330999</v>
      </c>
      <c r="D24" s="70">
        <f>SUM(D4:D23)</f>
        <v>1417023</v>
      </c>
      <c r="E24" s="70">
        <f>SUM(E4:E23)</f>
        <v>1431241</v>
      </c>
      <c r="F24" s="70">
        <f>SUM(F4:F23)</f>
        <v>1424377.5</v>
      </c>
      <c r="G24" s="70"/>
      <c r="H24" s="73">
        <f>C24/F24</f>
        <v>0.9344425898331026</v>
      </c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8.625" style="0" customWidth="1"/>
    <col min="2" max="2" width="20.75390625" style="0" customWidth="1"/>
    <col min="3" max="3" width="17.25390625" style="0" customWidth="1"/>
    <col min="4" max="4" width="17.75390625" style="1" customWidth="1"/>
    <col min="5" max="5" width="18.125" style="1" customWidth="1"/>
    <col min="6" max="6" width="18.00390625" style="0" customWidth="1"/>
    <col min="7" max="7" width="17.375" style="0" customWidth="1"/>
    <col min="8" max="9" width="20.75390625" style="0" customWidth="1"/>
  </cols>
  <sheetData>
    <row r="1" spans="1:9" ht="15.75">
      <c r="A1" s="168" t="s">
        <v>136</v>
      </c>
      <c r="B1" s="168"/>
      <c r="C1" s="168"/>
      <c r="D1" s="168"/>
      <c r="E1" s="168"/>
      <c r="F1" s="168"/>
      <c r="G1" s="168"/>
      <c r="H1" s="168"/>
      <c r="I1" s="168"/>
    </row>
    <row r="2" spans="1:9" ht="104.25" customHeight="1">
      <c r="A2" s="53" t="s">
        <v>0</v>
      </c>
      <c r="B2" s="54" t="s">
        <v>124</v>
      </c>
      <c r="C2" s="54" t="s">
        <v>81</v>
      </c>
      <c r="D2" s="54" t="s">
        <v>128</v>
      </c>
      <c r="E2" s="54" t="s">
        <v>134</v>
      </c>
      <c r="F2" s="54" t="s">
        <v>129</v>
      </c>
      <c r="G2" s="54" t="s">
        <v>105</v>
      </c>
      <c r="H2" s="54" t="s">
        <v>82</v>
      </c>
      <c r="I2" s="54" t="s">
        <v>137</v>
      </c>
    </row>
    <row r="3" spans="1:9" ht="15.75">
      <c r="A3" s="53">
        <v>1</v>
      </c>
      <c r="B3" s="53">
        <v>2</v>
      </c>
      <c r="C3" s="53">
        <v>3</v>
      </c>
      <c r="D3" s="53">
        <v>4</v>
      </c>
      <c r="E3" s="54">
        <v>5</v>
      </c>
      <c r="F3" s="54">
        <v>6</v>
      </c>
      <c r="G3" s="12" t="s">
        <v>112</v>
      </c>
      <c r="H3" s="53" t="s">
        <v>123</v>
      </c>
      <c r="I3" s="53" t="s">
        <v>119</v>
      </c>
    </row>
    <row r="4" spans="1:9" ht="22.5" customHeight="1">
      <c r="A4" s="55" t="s">
        <v>83</v>
      </c>
      <c r="B4" s="68">
        <v>4136566</v>
      </c>
      <c r="C4" s="69">
        <v>49516</v>
      </c>
      <c r="D4" s="68">
        <v>50903</v>
      </c>
      <c r="E4" s="72">
        <v>51217</v>
      </c>
      <c r="F4" s="72">
        <f aca="true" t="shared" si="0" ref="F4:F23">(D4+E4)/2</f>
        <v>51060</v>
      </c>
      <c r="G4" s="74">
        <v>83.54</v>
      </c>
      <c r="H4" s="73">
        <v>0.97</v>
      </c>
      <c r="I4" s="73">
        <f aca="true" t="shared" si="1" ref="I4:I23">H4*G4</f>
        <v>81.0338</v>
      </c>
    </row>
    <row r="5" spans="1:9" ht="27.75" customHeight="1">
      <c r="A5" s="55" t="s">
        <v>84</v>
      </c>
      <c r="B5" s="68">
        <v>1948275</v>
      </c>
      <c r="C5" s="69">
        <v>35779</v>
      </c>
      <c r="D5" s="68">
        <v>38144</v>
      </c>
      <c r="E5" s="72">
        <v>38092</v>
      </c>
      <c r="F5" s="72">
        <f t="shared" si="0"/>
        <v>38118</v>
      </c>
      <c r="G5" s="74">
        <v>54.45</v>
      </c>
      <c r="H5" s="73">
        <v>0.94</v>
      </c>
      <c r="I5" s="73">
        <f t="shared" si="1"/>
        <v>51.183</v>
      </c>
    </row>
    <row r="6" spans="1:9" ht="25.5" customHeight="1">
      <c r="A6" s="55" t="s">
        <v>85</v>
      </c>
      <c r="B6" s="68">
        <v>4531241</v>
      </c>
      <c r="C6" s="69">
        <v>75537</v>
      </c>
      <c r="D6" s="68">
        <v>79321</v>
      </c>
      <c r="E6" s="72">
        <v>79690</v>
      </c>
      <c r="F6" s="72">
        <f t="shared" si="0"/>
        <v>79505.5</v>
      </c>
      <c r="G6" s="74">
        <v>59.99</v>
      </c>
      <c r="H6" s="73">
        <v>0.95</v>
      </c>
      <c r="I6" s="73">
        <f t="shared" si="1"/>
        <v>56.9905</v>
      </c>
    </row>
    <row r="7" spans="1:9" ht="27" customHeight="1">
      <c r="A7" s="55" t="s">
        <v>86</v>
      </c>
      <c r="B7" s="68">
        <v>4713607</v>
      </c>
      <c r="C7" s="69">
        <v>100758</v>
      </c>
      <c r="D7" s="68">
        <v>122920</v>
      </c>
      <c r="E7" s="72">
        <v>115851</v>
      </c>
      <c r="F7" s="72">
        <f t="shared" si="0"/>
        <v>119385.5</v>
      </c>
      <c r="G7" s="74">
        <v>46.78</v>
      </c>
      <c r="H7" s="73">
        <v>0.84</v>
      </c>
      <c r="I7" s="73">
        <f t="shared" si="1"/>
        <v>39.2952</v>
      </c>
    </row>
    <row r="8" spans="1:9" ht="21.75" customHeight="1">
      <c r="A8" s="55" t="s">
        <v>87</v>
      </c>
      <c r="B8" s="68">
        <v>2458668</v>
      </c>
      <c r="C8" s="69">
        <v>39485</v>
      </c>
      <c r="D8" s="68">
        <v>43858</v>
      </c>
      <c r="E8" s="72">
        <v>43709</v>
      </c>
      <c r="F8" s="72">
        <f t="shared" si="0"/>
        <v>43783.5</v>
      </c>
      <c r="G8" s="74">
        <v>62.27</v>
      </c>
      <c r="H8" s="73">
        <v>0.9</v>
      </c>
      <c r="I8" s="73">
        <f t="shared" si="1"/>
        <v>56.043000000000006</v>
      </c>
    </row>
    <row r="9" spans="1:9" ht="27" customHeight="1">
      <c r="A9" s="55" t="s">
        <v>88</v>
      </c>
      <c r="B9" s="69">
        <v>1692223.6666666667</v>
      </c>
      <c r="C9" s="69">
        <v>21669</v>
      </c>
      <c r="D9" s="9">
        <v>24278</v>
      </c>
      <c r="E9" s="9">
        <v>23789</v>
      </c>
      <c r="F9" s="72">
        <f t="shared" si="0"/>
        <v>24033.5</v>
      </c>
      <c r="G9" s="74">
        <v>78.09</v>
      </c>
      <c r="H9" s="73">
        <v>0.9</v>
      </c>
      <c r="I9" s="73">
        <f t="shared" si="1"/>
        <v>70.281</v>
      </c>
    </row>
    <row r="10" spans="1:9" ht="33.75" customHeight="1">
      <c r="A10" s="56" t="s">
        <v>11</v>
      </c>
      <c r="B10" s="69">
        <v>9144361</v>
      </c>
      <c r="C10" s="69">
        <v>153786</v>
      </c>
      <c r="D10" s="9">
        <v>160994</v>
      </c>
      <c r="E10" s="9">
        <v>161753</v>
      </c>
      <c r="F10" s="72">
        <f t="shared" si="0"/>
        <v>161373.5</v>
      </c>
      <c r="G10" s="74">
        <v>59.46</v>
      </c>
      <c r="H10" s="73">
        <v>0.95</v>
      </c>
      <c r="I10" s="73">
        <f t="shared" si="1"/>
        <v>56.486999999999995</v>
      </c>
    </row>
    <row r="11" spans="1:9" ht="25.5" customHeight="1">
      <c r="A11" s="55" t="s">
        <v>89</v>
      </c>
      <c r="B11" s="69">
        <v>8208719</v>
      </c>
      <c r="C11" s="69">
        <v>172456</v>
      </c>
      <c r="D11" s="9">
        <v>188931</v>
      </c>
      <c r="E11" s="9">
        <v>189678</v>
      </c>
      <c r="F11" s="72">
        <f t="shared" si="0"/>
        <v>189304.5</v>
      </c>
      <c r="G11" s="74">
        <v>47.6</v>
      </c>
      <c r="H11" s="73">
        <v>0.91</v>
      </c>
      <c r="I11" s="73">
        <f t="shared" si="1"/>
        <v>43.316</v>
      </c>
    </row>
    <row r="12" spans="1:9" ht="36.75" customHeight="1">
      <c r="A12" s="55" t="s">
        <v>90</v>
      </c>
      <c r="B12" s="69">
        <v>4933991</v>
      </c>
      <c r="C12" s="69">
        <v>74817</v>
      </c>
      <c r="D12" s="9">
        <v>78536</v>
      </c>
      <c r="E12" s="9">
        <v>78233</v>
      </c>
      <c r="F12" s="72">
        <f t="shared" si="0"/>
        <v>78384.5</v>
      </c>
      <c r="G12" s="74">
        <v>65.95</v>
      </c>
      <c r="H12" s="73">
        <v>0.95</v>
      </c>
      <c r="I12" s="73">
        <f t="shared" si="1"/>
        <v>62.652499999999996</v>
      </c>
    </row>
    <row r="13" spans="1:9" ht="29.25" customHeight="1">
      <c r="A13" s="57" t="s">
        <v>14</v>
      </c>
      <c r="B13" s="69">
        <v>3970639</v>
      </c>
      <c r="C13" s="69">
        <v>61925</v>
      </c>
      <c r="D13" s="9">
        <v>65571</v>
      </c>
      <c r="E13" s="9">
        <v>65602</v>
      </c>
      <c r="F13" s="72">
        <f t="shared" si="0"/>
        <v>65586.5</v>
      </c>
      <c r="G13" s="74">
        <v>64.12</v>
      </c>
      <c r="H13" s="73">
        <v>0.94</v>
      </c>
      <c r="I13" s="73">
        <f t="shared" si="1"/>
        <v>60.272800000000004</v>
      </c>
    </row>
    <row r="14" spans="1:9" ht="33" customHeight="1">
      <c r="A14" s="55" t="s">
        <v>91</v>
      </c>
      <c r="B14" s="69">
        <v>4271875</v>
      </c>
      <c r="C14" s="69">
        <v>75103</v>
      </c>
      <c r="D14" s="9">
        <v>82149</v>
      </c>
      <c r="E14" s="9">
        <v>82357</v>
      </c>
      <c r="F14" s="72">
        <f t="shared" si="0"/>
        <v>82253</v>
      </c>
      <c r="G14" s="74">
        <v>56.88</v>
      </c>
      <c r="H14" s="73">
        <v>0.91</v>
      </c>
      <c r="I14" s="73">
        <f t="shared" si="1"/>
        <v>51.7608</v>
      </c>
    </row>
    <row r="15" spans="1:9" ht="24" customHeight="1">
      <c r="A15" s="56" t="s">
        <v>92</v>
      </c>
      <c r="B15" s="69">
        <v>2282607</v>
      </c>
      <c r="C15" s="69">
        <v>27407</v>
      </c>
      <c r="D15" s="9">
        <v>29148</v>
      </c>
      <c r="E15" s="9">
        <v>29180</v>
      </c>
      <c r="F15" s="72">
        <f t="shared" si="0"/>
        <v>29164</v>
      </c>
      <c r="G15" s="74">
        <v>83.29</v>
      </c>
      <c r="H15" s="73">
        <v>0.94</v>
      </c>
      <c r="I15" s="73">
        <f t="shared" si="1"/>
        <v>78.29260000000001</v>
      </c>
    </row>
    <row r="16" spans="1:9" ht="33" customHeight="1">
      <c r="A16" s="55" t="s">
        <v>93</v>
      </c>
      <c r="B16" s="69">
        <v>3137793</v>
      </c>
      <c r="C16" s="69">
        <v>50841</v>
      </c>
      <c r="D16" s="9">
        <v>52407</v>
      </c>
      <c r="E16" s="9">
        <v>52035</v>
      </c>
      <c r="F16" s="72">
        <f t="shared" si="0"/>
        <v>52221</v>
      </c>
      <c r="G16" s="74">
        <v>61.72</v>
      </c>
      <c r="H16" s="73">
        <v>0.97</v>
      </c>
      <c r="I16" s="73">
        <f t="shared" si="1"/>
        <v>59.868399999999994</v>
      </c>
    </row>
    <row r="17" spans="1:9" ht="28.5" customHeight="1">
      <c r="A17" s="55" t="s">
        <v>94</v>
      </c>
      <c r="B17" s="69">
        <v>3446174</v>
      </c>
      <c r="C17" s="69">
        <v>63746</v>
      </c>
      <c r="D17" s="9">
        <v>67551</v>
      </c>
      <c r="E17" s="9">
        <v>67593</v>
      </c>
      <c r="F17" s="72">
        <f t="shared" si="0"/>
        <v>67572</v>
      </c>
      <c r="G17" s="74">
        <v>54.06</v>
      </c>
      <c r="H17" s="73">
        <v>0.94</v>
      </c>
      <c r="I17" s="73">
        <f t="shared" si="1"/>
        <v>50.8164</v>
      </c>
    </row>
    <row r="18" spans="1:9" ht="27" customHeight="1">
      <c r="A18" s="55" t="s">
        <v>95</v>
      </c>
      <c r="B18" s="69">
        <v>2683805</v>
      </c>
      <c r="C18" s="69">
        <v>28818</v>
      </c>
      <c r="D18" s="9">
        <v>30046</v>
      </c>
      <c r="E18" s="9">
        <v>30160</v>
      </c>
      <c r="F18" s="72">
        <f t="shared" si="0"/>
        <v>30103</v>
      </c>
      <c r="G18" s="74">
        <v>93.13</v>
      </c>
      <c r="H18" s="73">
        <v>0.96</v>
      </c>
      <c r="I18" s="73">
        <f t="shared" si="1"/>
        <v>89.4048</v>
      </c>
    </row>
    <row r="19" spans="1:9" ht="21" customHeight="1">
      <c r="A19" s="55" t="s">
        <v>96</v>
      </c>
      <c r="B19" s="69">
        <v>2819772</v>
      </c>
      <c r="C19" s="69">
        <v>48830</v>
      </c>
      <c r="D19" s="9">
        <v>51593</v>
      </c>
      <c r="E19" s="9">
        <v>51458</v>
      </c>
      <c r="F19" s="72">
        <f t="shared" si="0"/>
        <v>51525.5</v>
      </c>
      <c r="G19" s="74">
        <v>57.75</v>
      </c>
      <c r="H19" s="73">
        <v>0.95</v>
      </c>
      <c r="I19" s="73">
        <f t="shared" si="1"/>
        <v>54.8625</v>
      </c>
    </row>
    <row r="20" spans="1:9" ht="21" customHeight="1">
      <c r="A20" s="55" t="s">
        <v>97</v>
      </c>
      <c r="B20" s="69">
        <v>2288056</v>
      </c>
      <c r="C20" s="69">
        <v>38797</v>
      </c>
      <c r="D20" s="9">
        <v>40059</v>
      </c>
      <c r="E20" s="9">
        <v>40138</v>
      </c>
      <c r="F20" s="72">
        <f t="shared" si="0"/>
        <v>40098.5</v>
      </c>
      <c r="G20" s="74">
        <v>58.98</v>
      </c>
      <c r="H20" s="73">
        <v>0.97</v>
      </c>
      <c r="I20" s="73">
        <f t="shared" si="1"/>
        <v>57.21059999999999</v>
      </c>
    </row>
    <row r="21" spans="1:9" ht="33.75" customHeight="1">
      <c r="A21" s="55" t="s">
        <v>21</v>
      </c>
      <c r="B21" s="69">
        <v>3308666</v>
      </c>
      <c r="C21" s="69">
        <v>58026</v>
      </c>
      <c r="D21" s="9">
        <v>63487</v>
      </c>
      <c r="E21" s="9">
        <v>63377</v>
      </c>
      <c r="F21" s="72">
        <f t="shared" si="0"/>
        <v>63432</v>
      </c>
      <c r="G21" s="74">
        <v>57.02</v>
      </c>
      <c r="H21" s="73">
        <v>0.91</v>
      </c>
      <c r="I21" s="73">
        <f t="shared" si="1"/>
        <v>51.888200000000005</v>
      </c>
    </row>
    <row r="22" spans="1:9" ht="22.5" customHeight="1">
      <c r="A22" s="55" t="s">
        <v>98</v>
      </c>
      <c r="B22" s="69">
        <v>4689953</v>
      </c>
      <c r="C22" s="69">
        <v>66264</v>
      </c>
      <c r="D22" s="9">
        <v>69620</v>
      </c>
      <c r="E22" s="9">
        <v>69763</v>
      </c>
      <c r="F22" s="72">
        <f t="shared" si="0"/>
        <v>69691.5</v>
      </c>
      <c r="G22" s="74">
        <v>70.78</v>
      </c>
      <c r="H22" s="73">
        <v>0.95</v>
      </c>
      <c r="I22" s="73">
        <f t="shared" si="1"/>
        <v>67.241</v>
      </c>
    </row>
    <row r="23" spans="1:9" ht="22.5" customHeight="1">
      <c r="A23" s="55" t="s">
        <v>99</v>
      </c>
      <c r="B23" s="69">
        <v>4512719</v>
      </c>
      <c r="C23" s="71">
        <v>87439</v>
      </c>
      <c r="D23" s="9">
        <v>91725</v>
      </c>
      <c r="E23" s="9">
        <v>91513</v>
      </c>
      <c r="F23" s="72">
        <f t="shared" si="0"/>
        <v>91619</v>
      </c>
      <c r="G23" s="74">
        <v>51.61</v>
      </c>
      <c r="H23" s="77">
        <v>0.95</v>
      </c>
      <c r="I23" s="73">
        <f t="shared" si="1"/>
        <v>49.0295</v>
      </c>
    </row>
    <row r="24" spans="1:9" ht="15.75">
      <c r="A24" s="78" t="s">
        <v>62</v>
      </c>
      <c r="B24" s="69">
        <f>SUM(B4:B23)</f>
        <v>79179710.66666667</v>
      </c>
      <c r="C24" s="69">
        <f>SUM(C4:C23)</f>
        <v>1330999</v>
      </c>
      <c r="D24" s="69">
        <f>SUM(D4:D23)</f>
        <v>1431241</v>
      </c>
      <c r="E24" s="69">
        <f>SUM(E4:E23)</f>
        <v>1425188</v>
      </c>
      <c r="F24" s="69">
        <f>SUM(F4:F23)</f>
        <v>1428214.5</v>
      </c>
      <c r="G24" s="69"/>
      <c r="H24" s="77"/>
      <c r="I24" s="3"/>
    </row>
  </sheetData>
  <sheetProtection/>
  <mergeCells count="1">
    <mergeCell ref="A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B4" sqref="B4:B18"/>
    </sheetView>
  </sheetViews>
  <sheetFormatPr defaultColWidth="9.00390625" defaultRowHeight="12.75"/>
  <cols>
    <col min="1" max="1" width="6.875" style="93" customWidth="1"/>
    <col min="2" max="2" width="43.625" style="92" customWidth="1"/>
    <col min="3" max="3" width="19.75390625" style="93" customWidth="1"/>
    <col min="4" max="4" width="17.25390625" style="93" customWidth="1"/>
    <col min="5" max="5" width="19.25390625" style="94" customWidth="1"/>
    <col min="6" max="6" width="16.625" style="99" hidden="1" customWidth="1"/>
    <col min="7" max="7" width="18.125" style="93" customWidth="1"/>
    <col min="8" max="8" width="16.00390625" style="93" customWidth="1"/>
    <col min="9" max="16384" width="9.125" style="93" customWidth="1"/>
  </cols>
  <sheetData>
    <row r="1" spans="1:8" s="101" customFormat="1" ht="39" customHeight="1">
      <c r="A1" s="146" t="s">
        <v>165</v>
      </c>
      <c r="B1" s="146"/>
      <c r="C1" s="146"/>
      <c r="D1" s="146"/>
      <c r="E1" s="146"/>
      <c r="F1" s="128"/>
      <c r="G1" s="128"/>
      <c r="H1" s="128"/>
    </row>
    <row r="2" spans="1:7" s="101" customFormat="1" ht="71.25" customHeight="1">
      <c r="A2" s="122"/>
      <c r="B2" s="122" t="s">
        <v>0</v>
      </c>
      <c r="C2" s="122" t="s">
        <v>160</v>
      </c>
      <c r="D2" s="122" t="s">
        <v>161</v>
      </c>
      <c r="E2" s="122" t="s">
        <v>163</v>
      </c>
      <c r="F2" s="107"/>
      <c r="G2" s="101" t="s">
        <v>162</v>
      </c>
    </row>
    <row r="3" spans="1:6" s="121" customFormat="1" ht="14.25" customHeight="1">
      <c r="A3" s="114" t="s">
        <v>32</v>
      </c>
      <c r="B3" s="114">
        <f>A3+1</f>
        <v>2</v>
      </c>
      <c r="C3" s="108">
        <v>3</v>
      </c>
      <c r="D3" s="96">
        <v>4</v>
      </c>
      <c r="E3" s="97">
        <v>5</v>
      </c>
      <c r="F3" s="120"/>
    </row>
    <row r="4" spans="1:8" ht="34.5" customHeight="1">
      <c r="A4" s="114">
        <v>1</v>
      </c>
      <c r="B4" s="115" t="s">
        <v>147</v>
      </c>
      <c r="C4" s="126">
        <v>43921591.64</v>
      </c>
      <c r="D4" s="118">
        <v>51217</v>
      </c>
      <c r="E4" s="98">
        <v>71.46</v>
      </c>
      <c r="F4" s="100" t="e">
        <f>D4/#REF!</f>
        <v>#REF!</v>
      </c>
      <c r="G4" s="106">
        <f>E4*D4*12</f>
        <v>43919601.839999996</v>
      </c>
      <c r="H4" s="106">
        <f>C4-G4</f>
        <v>1989.8000000044703</v>
      </c>
    </row>
    <row r="5" spans="1:8" ht="34.5" customHeight="1">
      <c r="A5" s="114">
        <f aca="true" t="shared" si="0" ref="A5:A19">A4+1</f>
        <v>2</v>
      </c>
      <c r="B5" s="115" t="s">
        <v>85</v>
      </c>
      <c r="C5" s="126">
        <v>55083010.72</v>
      </c>
      <c r="D5" s="118">
        <v>79690</v>
      </c>
      <c r="E5" s="98">
        <v>57.6</v>
      </c>
      <c r="F5" s="100" t="e">
        <f>D5/#REF!</f>
        <v>#REF!</v>
      </c>
      <c r="G5" s="106">
        <f aca="true" t="shared" si="1" ref="G5:G23">E5*D5*12</f>
        <v>55081728</v>
      </c>
      <c r="H5" s="106">
        <f aca="true" t="shared" si="2" ref="H5:H23">C5-G5</f>
        <v>1282.719999998808</v>
      </c>
    </row>
    <row r="6" spans="1:8" ht="34.5" customHeight="1">
      <c r="A6" s="114">
        <f t="shared" si="0"/>
        <v>3</v>
      </c>
      <c r="B6" s="115" t="s">
        <v>148</v>
      </c>
      <c r="C6" s="126">
        <v>24274383.12</v>
      </c>
      <c r="D6" s="118">
        <v>38092</v>
      </c>
      <c r="E6" s="98">
        <f aca="true" t="shared" si="3" ref="E6:E24">ROUND(C6/D6/12,2)</f>
        <v>53.1</v>
      </c>
      <c r="F6" s="100" t="e">
        <f>D6/#REF!</f>
        <v>#REF!</v>
      </c>
      <c r="G6" s="106">
        <f t="shared" si="1"/>
        <v>24272222.4</v>
      </c>
      <c r="H6" s="106">
        <f t="shared" si="2"/>
        <v>2160.720000002533</v>
      </c>
    </row>
    <row r="7" spans="1:8" ht="34.5" customHeight="1">
      <c r="A7" s="114">
        <f t="shared" si="0"/>
        <v>4</v>
      </c>
      <c r="B7" s="115" t="s">
        <v>149</v>
      </c>
      <c r="C7" s="126">
        <v>56277248.2</v>
      </c>
      <c r="D7" s="118">
        <v>115851</v>
      </c>
      <c r="E7" s="98">
        <f t="shared" si="3"/>
        <v>40.48</v>
      </c>
      <c r="F7" s="100" t="e">
        <f>D7/#REF!</f>
        <v>#REF!</v>
      </c>
      <c r="G7" s="106">
        <f t="shared" si="1"/>
        <v>56275781.75999999</v>
      </c>
      <c r="H7" s="106">
        <f t="shared" si="2"/>
        <v>1466.440000012517</v>
      </c>
    </row>
    <row r="8" spans="1:8" ht="34.5" customHeight="1">
      <c r="A8" s="114">
        <f t="shared" si="0"/>
        <v>5</v>
      </c>
      <c r="B8" s="115" t="s">
        <v>150</v>
      </c>
      <c r="C8" s="126">
        <v>26106393.84</v>
      </c>
      <c r="D8" s="118">
        <v>43709</v>
      </c>
      <c r="E8" s="98">
        <f t="shared" si="3"/>
        <v>49.77</v>
      </c>
      <c r="F8" s="100" t="e">
        <f>D8/#REF!</f>
        <v>#REF!</v>
      </c>
      <c r="G8" s="106">
        <f t="shared" si="1"/>
        <v>26104763.160000004</v>
      </c>
      <c r="H8" s="106">
        <f t="shared" si="2"/>
        <v>1630.6799999959767</v>
      </c>
    </row>
    <row r="9" spans="1:8" ht="34.5" customHeight="1">
      <c r="A9" s="114">
        <f t="shared" si="0"/>
        <v>6</v>
      </c>
      <c r="B9" s="115" t="s">
        <v>88</v>
      </c>
      <c r="C9" s="126">
        <v>17954978.68</v>
      </c>
      <c r="D9" s="118">
        <v>23789</v>
      </c>
      <c r="E9" s="98">
        <v>62.9</v>
      </c>
      <c r="F9" s="100" t="e">
        <f>D9/#REF!</f>
        <v>#REF!</v>
      </c>
      <c r="G9" s="106">
        <f t="shared" si="1"/>
        <v>17955937.2</v>
      </c>
      <c r="H9" s="106">
        <f t="shared" si="2"/>
        <v>-958.519999999553</v>
      </c>
    </row>
    <row r="10" spans="1:8" ht="34.5" customHeight="1">
      <c r="A10" s="114">
        <f t="shared" si="0"/>
        <v>7</v>
      </c>
      <c r="B10" s="115" t="s">
        <v>151</v>
      </c>
      <c r="C10" s="126">
        <v>112449682.76</v>
      </c>
      <c r="D10" s="118">
        <v>161753</v>
      </c>
      <c r="E10" s="98">
        <f t="shared" si="3"/>
        <v>57.93</v>
      </c>
      <c r="F10" s="100" t="e">
        <f>D10/#REF!</f>
        <v>#REF!</v>
      </c>
      <c r="G10" s="106">
        <f t="shared" si="1"/>
        <v>112444215.47999999</v>
      </c>
      <c r="H10" s="106">
        <f t="shared" si="2"/>
        <v>5467.280000016093</v>
      </c>
    </row>
    <row r="11" spans="1:8" s="92" customFormat="1" ht="34.5" customHeight="1">
      <c r="A11" s="114">
        <f t="shared" si="0"/>
        <v>8</v>
      </c>
      <c r="B11" s="115" t="s">
        <v>89</v>
      </c>
      <c r="C11" s="126">
        <v>107555463.8</v>
      </c>
      <c r="D11" s="118">
        <v>189678</v>
      </c>
      <c r="E11" s="98">
        <f t="shared" si="3"/>
        <v>47.25</v>
      </c>
      <c r="F11" s="100" t="e">
        <f>D11/#REF!</f>
        <v>#REF!</v>
      </c>
      <c r="G11" s="106">
        <f t="shared" si="1"/>
        <v>107547426</v>
      </c>
      <c r="H11" s="106">
        <f t="shared" si="2"/>
        <v>8037.79999999702</v>
      </c>
    </row>
    <row r="12" spans="1:8" ht="34.5" customHeight="1">
      <c r="A12" s="114">
        <f t="shared" si="0"/>
        <v>9</v>
      </c>
      <c r="B12" s="115" t="s">
        <v>90</v>
      </c>
      <c r="C12" s="126">
        <v>52441712.6</v>
      </c>
      <c r="D12" s="118">
        <v>78233</v>
      </c>
      <c r="E12" s="98">
        <f t="shared" si="3"/>
        <v>55.86</v>
      </c>
      <c r="F12" s="100" t="e">
        <f>D12/#REF!</f>
        <v>#REF!</v>
      </c>
      <c r="G12" s="106">
        <f t="shared" si="1"/>
        <v>52441144.56</v>
      </c>
      <c r="H12" s="106">
        <f t="shared" si="2"/>
        <v>568.0399999991059</v>
      </c>
    </row>
    <row r="13" spans="1:8" ht="34.5" customHeight="1">
      <c r="A13" s="114">
        <f t="shared" si="0"/>
        <v>10</v>
      </c>
      <c r="B13" s="115" t="s">
        <v>152</v>
      </c>
      <c r="C13" s="126">
        <v>46586894.12</v>
      </c>
      <c r="D13" s="118">
        <v>65602</v>
      </c>
      <c r="E13" s="98">
        <v>59.18</v>
      </c>
      <c r="F13" s="100" t="e">
        <f>D13/#REF!</f>
        <v>#REF!</v>
      </c>
      <c r="G13" s="106">
        <f t="shared" si="1"/>
        <v>46587916.32</v>
      </c>
      <c r="H13" s="106">
        <f t="shared" si="2"/>
        <v>-1022.2000000029802</v>
      </c>
    </row>
    <row r="14" spans="1:8" ht="34.5" customHeight="1">
      <c r="A14" s="114">
        <f t="shared" si="0"/>
        <v>11</v>
      </c>
      <c r="B14" s="115" t="s">
        <v>153</v>
      </c>
      <c r="C14" s="126">
        <v>55219717.52</v>
      </c>
      <c r="D14" s="118">
        <v>82357</v>
      </c>
      <c r="E14" s="98">
        <f t="shared" si="3"/>
        <v>55.87</v>
      </c>
      <c r="F14" s="100" t="e">
        <f>D14/#REF!</f>
        <v>#REF!</v>
      </c>
      <c r="G14" s="106">
        <f t="shared" si="1"/>
        <v>55215427.08</v>
      </c>
      <c r="H14" s="106">
        <f t="shared" si="2"/>
        <v>4290.440000005066</v>
      </c>
    </row>
    <row r="15" spans="1:8" ht="34.5" customHeight="1">
      <c r="A15" s="114">
        <f t="shared" si="0"/>
        <v>12</v>
      </c>
      <c r="B15" s="115" t="s">
        <v>154</v>
      </c>
      <c r="C15" s="126">
        <v>24993234.48</v>
      </c>
      <c r="D15" s="118">
        <v>29180</v>
      </c>
      <c r="E15" s="98">
        <f t="shared" si="3"/>
        <v>71.38</v>
      </c>
      <c r="F15" s="100" t="e">
        <f>D15/#REF!</f>
        <v>#REF!</v>
      </c>
      <c r="G15" s="106">
        <f t="shared" si="1"/>
        <v>24994420.799999997</v>
      </c>
      <c r="H15" s="106">
        <f t="shared" si="2"/>
        <v>-1186.3199999965727</v>
      </c>
    </row>
    <row r="16" spans="1:8" s="92" customFormat="1" ht="34.5" customHeight="1">
      <c r="A16" s="114">
        <f t="shared" si="0"/>
        <v>13</v>
      </c>
      <c r="B16" s="115" t="s">
        <v>155</v>
      </c>
      <c r="C16" s="126">
        <v>33321342.88</v>
      </c>
      <c r="D16" s="118">
        <v>52035</v>
      </c>
      <c r="E16" s="98">
        <f t="shared" si="3"/>
        <v>53.36</v>
      </c>
      <c r="F16" s="100" t="e">
        <f>D16/#REF!</f>
        <v>#REF!</v>
      </c>
      <c r="G16" s="106">
        <f t="shared" si="1"/>
        <v>33319051.200000003</v>
      </c>
      <c r="H16" s="106">
        <f t="shared" si="2"/>
        <v>2291.6799999959767</v>
      </c>
    </row>
    <row r="17" spans="1:8" ht="34.5" customHeight="1">
      <c r="A17" s="114">
        <f t="shared" si="0"/>
        <v>14</v>
      </c>
      <c r="B17" s="115" t="s">
        <v>94</v>
      </c>
      <c r="C17" s="126">
        <v>38161925.88</v>
      </c>
      <c r="D17" s="118">
        <v>67593</v>
      </c>
      <c r="E17" s="98">
        <f t="shared" si="3"/>
        <v>47.05</v>
      </c>
      <c r="F17" s="100" t="e">
        <f>D17/#REF!</f>
        <v>#REF!</v>
      </c>
      <c r="G17" s="106">
        <f t="shared" si="1"/>
        <v>38163007.8</v>
      </c>
      <c r="H17" s="106">
        <f t="shared" si="2"/>
        <v>-1081.9199999943376</v>
      </c>
    </row>
    <row r="18" spans="1:8" ht="34.5" customHeight="1">
      <c r="A18" s="114">
        <f t="shared" si="0"/>
        <v>15</v>
      </c>
      <c r="B18" s="115" t="s">
        <v>95</v>
      </c>
      <c r="C18" s="126">
        <v>28499826.48</v>
      </c>
      <c r="D18" s="118">
        <v>30160</v>
      </c>
      <c r="E18" s="98">
        <v>78.75</v>
      </c>
      <c r="F18" s="100" t="e">
        <f>D18/#REF!</f>
        <v>#REF!</v>
      </c>
      <c r="G18" s="106">
        <f t="shared" si="1"/>
        <v>28501200</v>
      </c>
      <c r="H18" s="106">
        <f t="shared" si="2"/>
        <v>-1373.519999999553</v>
      </c>
    </row>
    <row r="19" spans="1:8" ht="34.5" customHeight="1">
      <c r="A19" s="114">
        <f t="shared" si="0"/>
        <v>16</v>
      </c>
      <c r="B19" s="115" t="s">
        <v>96</v>
      </c>
      <c r="C19" s="126">
        <v>35618208.24</v>
      </c>
      <c r="D19" s="118">
        <v>51458</v>
      </c>
      <c r="E19" s="98">
        <f t="shared" si="3"/>
        <v>57.68</v>
      </c>
      <c r="F19" s="100" t="e">
        <f>D19/#REF!</f>
        <v>#REF!</v>
      </c>
      <c r="G19" s="106">
        <f t="shared" si="1"/>
        <v>35617169.28</v>
      </c>
      <c r="H19" s="106">
        <f t="shared" si="2"/>
        <v>1038.960000000894</v>
      </c>
    </row>
    <row r="20" spans="1:8" ht="34.5" customHeight="1">
      <c r="A20" s="114">
        <v>17</v>
      </c>
      <c r="B20" s="115" t="s">
        <v>97</v>
      </c>
      <c r="C20" s="111">
        <v>27908578.76</v>
      </c>
      <c r="D20" s="119">
        <v>40138</v>
      </c>
      <c r="E20" s="98">
        <f t="shared" si="3"/>
        <v>57.94</v>
      </c>
      <c r="F20" s="105"/>
      <c r="G20" s="106">
        <f t="shared" si="1"/>
        <v>27907148.639999997</v>
      </c>
      <c r="H20" s="106">
        <f t="shared" si="2"/>
        <v>1430.1200000047684</v>
      </c>
    </row>
    <row r="21" spans="1:8" s="95" customFormat="1" ht="34.5" customHeight="1">
      <c r="A21" s="114">
        <v>18</v>
      </c>
      <c r="B21" s="115" t="s">
        <v>156</v>
      </c>
      <c r="C21" s="112">
        <v>56895754.32</v>
      </c>
      <c r="D21" s="118">
        <v>69763</v>
      </c>
      <c r="E21" s="98">
        <f t="shared" si="3"/>
        <v>67.96</v>
      </c>
      <c r="F21" s="103" t="s">
        <v>146</v>
      </c>
      <c r="G21" s="106">
        <f t="shared" si="1"/>
        <v>56893121.75999999</v>
      </c>
      <c r="H21" s="106">
        <f t="shared" si="2"/>
        <v>2632.5600000098348</v>
      </c>
    </row>
    <row r="22" spans="1:8" ht="34.5" customHeight="1">
      <c r="A22" s="114">
        <v>19</v>
      </c>
      <c r="B22" s="115" t="s">
        <v>157</v>
      </c>
      <c r="C22" s="113">
        <v>62159206</v>
      </c>
      <c r="D22" s="125">
        <v>91513</v>
      </c>
      <c r="E22" s="98">
        <f t="shared" si="3"/>
        <v>56.6</v>
      </c>
      <c r="F22" s="92"/>
      <c r="G22" s="106">
        <f t="shared" si="1"/>
        <v>62155629.599999994</v>
      </c>
      <c r="H22" s="106">
        <f t="shared" si="2"/>
        <v>3576.4000000059605</v>
      </c>
    </row>
    <row r="23" spans="1:17" s="102" customFormat="1" ht="34.5" customHeight="1">
      <c r="A23" s="114">
        <v>20</v>
      </c>
      <c r="B23" s="116" t="s">
        <v>158</v>
      </c>
      <c r="C23" s="113">
        <v>38185481.12</v>
      </c>
      <c r="D23" s="125">
        <v>63377</v>
      </c>
      <c r="E23" s="98">
        <f t="shared" si="3"/>
        <v>50.21</v>
      </c>
      <c r="F23" s="92"/>
      <c r="G23" s="106">
        <f t="shared" si="1"/>
        <v>38185910.04</v>
      </c>
      <c r="H23" s="106">
        <f t="shared" si="2"/>
        <v>-428.92000000178814</v>
      </c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25.5" customHeight="1">
      <c r="A24" s="109"/>
      <c r="B24" s="124" t="s">
        <v>159</v>
      </c>
      <c r="C24" s="123">
        <f>SUM(C4:C23)</f>
        <v>943614635.1600001</v>
      </c>
      <c r="D24" s="117">
        <f>SUM(D4:D23)</f>
        <v>1425188</v>
      </c>
      <c r="E24" s="104">
        <f t="shared" si="3"/>
        <v>55.17</v>
      </c>
      <c r="G24" s="106">
        <f>SUM(G4:G23)</f>
        <v>943582822.92</v>
      </c>
      <c r="H24" s="110">
        <f>C24-G24</f>
        <v>31812.240000128746</v>
      </c>
      <c r="I24" s="92"/>
      <c r="J24" s="92"/>
      <c r="K24" s="92"/>
      <c r="L24" s="92"/>
      <c r="M24" s="92"/>
      <c r="N24" s="92"/>
      <c r="O24" s="92"/>
      <c r="P24" s="92"/>
      <c r="Q24" s="92"/>
    </row>
    <row r="25" ht="34.5" customHeight="1">
      <c r="E25" s="127">
        <f>SUM(E4:E23)</f>
        <v>1152.33</v>
      </c>
    </row>
    <row r="26" ht="34.5" customHeight="1"/>
  </sheetData>
  <sheetProtection/>
  <mergeCells count="1">
    <mergeCell ref="A1:E1"/>
  </mergeCells>
  <printOptions/>
  <pageMargins left="0.2362204724409449" right="0.2362204724409449" top="0" bottom="0.1574803149606299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ogneva</dc:creator>
  <cp:keywords/>
  <dc:description/>
  <cp:lastModifiedBy>noskova</cp:lastModifiedBy>
  <cp:lastPrinted>2016-05-16T06:31:11Z</cp:lastPrinted>
  <dcterms:created xsi:type="dcterms:W3CDTF">2012-12-14T06:32:37Z</dcterms:created>
  <dcterms:modified xsi:type="dcterms:W3CDTF">2016-06-06T09:30:21Z</dcterms:modified>
  <cp:category/>
  <cp:version/>
  <cp:contentType/>
  <cp:contentStatus/>
</cp:coreProperties>
</file>