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9050" windowHeight="12990" tabRatio="708" firstSheet="2" activeTab="2"/>
  </bookViews>
  <sheets>
    <sheet name="на 01.01.2018" sheetId="1" r:id="rId1"/>
    <sheet name="на 01.03.18 без Ккор" sheetId="2" r:id="rId2"/>
    <sheet name="БДПН АМП" sheetId="3" r:id="rId3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<sst xmlns="http://schemas.openxmlformats.org/spreadsheetml/2006/main" count="201" uniqueCount="132">
  <si>
    <t>№ п/п</t>
  </si>
  <si>
    <t>ГАУЗ ЛО "Вырицкая РБ"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</si>
  <si>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</si>
  <si>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</si>
  <si>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</si>
  <si>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</si>
  <si>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</si>
  <si>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</si>
  <si>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</si>
  <si>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</si>
  <si>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</si>
  <si>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</si>
  <si>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</si>
  <si>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</si>
  <si>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</si>
  <si>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</si>
  <si>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</si>
  <si>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</si>
  <si>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</si>
  <si>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</si>
  <si>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</si>
  <si>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"Сертоловская ГБ"</t>
  </si>
  <si>
    <t>ГБУЗ ЛО "Токсовская РБ"</t>
  </si>
  <si>
    <t>ФГБУЗ ЦМСЧ № 38 ФМБА России</t>
  </si>
  <si>
    <t>Проверка корректировок внесенных в программу</t>
  </si>
  <si>
    <t>Наименование медицинских учреждений</t>
  </si>
  <si>
    <t>Уровень МО</t>
  </si>
  <si>
    <t>Численность застрахованного населения, прикрепленного к МО на 01.04.2017, чел.</t>
  </si>
  <si>
    <t>План после корректировок из программы</t>
  </si>
  <si>
    <t>Подушевой норматив</t>
  </si>
  <si>
    <t>Всего</t>
  </si>
  <si>
    <t>АМП лечебная</t>
  </si>
  <si>
    <t>АМП профилак</t>
  </si>
  <si>
    <t>2</t>
  </si>
  <si>
    <t>3</t>
  </si>
  <si>
    <t>7</t>
  </si>
  <si>
    <t>2.1</t>
  </si>
  <si>
    <t>ГБУЗ ЛО "Выборгская МБ"</t>
  </si>
  <si>
    <t>ИТОГО</t>
  </si>
  <si>
    <t>Контрольная цифра</t>
  </si>
  <si>
    <t>отклонения от КЦ</t>
  </si>
  <si>
    <t>4</t>
  </si>
  <si>
    <t>5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</si>
  <si>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</si>
  <si>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</si>
  <si>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</si>
  <si>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</si>
  <si>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</si>
  <si>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</si>
  <si>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</si>
  <si>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</si>
  <si>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</si>
  <si>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</si>
  <si>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Отклонения (+ рост числ)</t>
  </si>
  <si>
    <t>Численность застрахованного населения, прикрепленного к МО на 01.03.2018, чел.</t>
  </si>
  <si>
    <t>в месяц</t>
  </si>
  <si>
    <t>21</t>
  </si>
  <si>
    <t>БДПН АМП в мес на 01.01.2018</t>
  </si>
  <si>
    <t>март</t>
  </si>
  <si>
    <t>Корректировка плана на год с 01.03.18</t>
  </si>
  <si>
    <t>Корректировка плана на год с 01.05.18</t>
  </si>
  <si>
    <t>План 2018 на 01.01.2018 (на 12 мес)</t>
  </si>
  <si>
    <t xml:space="preserve">План 10 мес. 2018 </t>
  </si>
  <si>
    <t>БДПН АМП в мес после кор плана с 01.03.18</t>
  </si>
  <si>
    <t>БДПН АМП в мес после кор плана с 01.05.18</t>
  </si>
  <si>
    <t>Ккор числ с 01.03.2018</t>
  </si>
  <si>
    <t>БДПН АМП в мес с Ккор  с 01.03.18</t>
  </si>
  <si>
    <t>БДПН АМП в мес. с Ккор с 01.05.18</t>
  </si>
  <si>
    <t>Ккор числ с 01.05.2018</t>
  </si>
  <si>
    <t>исходные данные</t>
  </si>
  <si>
    <t>в месяц с 01.03.18</t>
  </si>
  <si>
    <t>в месяц с 01.05.18</t>
  </si>
  <si>
    <t>январь</t>
  </si>
  <si>
    <t>февраль</t>
  </si>
  <si>
    <t>Расчетное фин-ие по подушевым нормативам за первый картал</t>
  </si>
  <si>
    <t>числ на 01.01.18</t>
  </si>
  <si>
    <t>сумма, руб.</t>
  </si>
  <si>
    <t>числ на 01.02.18</t>
  </si>
  <si>
    <t>всего</t>
  </si>
  <si>
    <t>План 1 кв. 18</t>
  </si>
  <si>
    <t>отклонения расчетного финансирования от планового за 1 кв.18</t>
  </si>
  <si>
    <t>6=5/12</t>
  </si>
  <si>
    <t>9=10+11</t>
  </si>
  <si>
    <t>10=7/4/12 м</t>
  </si>
  <si>
    <t>11=8/4/12 м</t>
  </si>
  <si>
    <t>14=5/12м*10м+12+13</t>
  </si>
  <si>
    <t>16=Кинг(14-15*2м)/8м</t>
  </si>
  <si>
    <t>19</t>
  </si>
  <si>
    <t>20</t>
  </si>
  <si>
    <t>23</t>
  </si>
  <si>
    <t>22=17*21</t>
  </si>
  <si>
    <t>24=18*23</t>
  </si>
  <si>
    <t>26=25*9</t>
  </si>
  <si>
    <t>28=27*9</t>
  </si>
  <si>
    <t>29=19*22</t>
  </si>
  <si>
    <t>31=6*2м+15</t>
  </si>
  <si>
    <t>15=14/10м (Кинг 5/12м)</t>
  </si>
  <si>
    <t>№ однородной группы</t>
  </si>
  <si>
    <t>Наименование МО</t>
  </si>
  <si>
    <t>в том числе</t>
  </si>
  <si>
    <t>Справочно:</t>
  </si>
  <si>
    <t>ППНi на 1 квартал 2018</t>
  </si>
  <si>
    <t xml:space="preserve">Расчет корректировки поправочного подушевого норматива АМП </t>
  </si>
  <si>
    <t>*</t>
  </si>
  <si>
    <t>ОЧ- основная часть базового диференцированного подушевого норматива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</si>
  <si>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</si>
  <si>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</si>
  <si>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</si>
  <si>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</si>
  <si>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</si>
  <si>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</si>
  <si>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</si>
  <si>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</si>
  <si>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</si>
  <si>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</si>
  <si>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Приложение 3
к Соглашению №9 от 26.10.18</t>
  </si>
  <si>
    <t>Раздел Базовый дифференцированный подушевой норматив финансирования на прикрепившихся лиц для однородных групп медицинских организаций (основная часть) (ОЧ БДПН)
на период с 01.10.18г по 31.12.18г (октябрь-декабрь)</t>
  </si>
  <si>
    <t>Подушевой норматив финансирования медицинской помощи, оказываемой в амбулаторных условиях 
с профилактической и иными целями (за исключением Диспансеризации),  в связи с обращением по поводу заболевания 
по базовой ТП ОМС в ЛО на 2018г</t>
  </si>
  <si>
    <t>ГБУЗ ЛО "Тихвинская МБ"</t>
  </si>
  <si>
    <t>ГБУЗ ЛО "Сланцевская МБ"</t>
  </si>
  <si>
    <t>ГБУЗ ЛО "Подпорожская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</si>
  <si>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</si>
  <si>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</si>
  <si>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</si>
  <si>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</si>
  <si>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</si>
  <si>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>ОЧ* БДПН АМП обращения по поводу заболевания, руб</t>
  </si>
  <si>
    <t>ОЧ* БДПН АМП профилактика, руб</t>
  </si>
  <si>
    <t>ОЧ* БДПН АМП, 
руб</t>
  </si>
  <si>
    <t>БДПН АМП в месяц (с 01.10.18 по 31.12.18), 
руб</t>
  </si>
  <si>
    <t>БДПН АМП  обращения по поводу заболевания в месяц (с 01.10.18 по 31.12.18), руб</t>
  </si>
  <si>
    <t>БДПН АМП профилактика в месяц (с 01.10.18 по 31.12.18), руб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</si>
</sst>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00000"/>
    <numFmt numFmtId="190" formatCode="_-* #,##0_р_._-;\-* #,##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b/>
      <sz val="9"/>
      <name val="Times New Roman CYR"/>
      <family val="1"/>
    </font>
    <font>
      <sz val="12"/>
      <name val="Times New Roman CYR"/>
      <family val="0"/>
    </font>
    <font>
      <sz val="7"/>
      <name val="Times New Roman CYR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 horizontal="center"/>
    </xf>
    <xf numFmtId="176" fontId="14" fillId="0" borderId="10" xfId="0" applyNumberFormat="1" applyFont="1" applyFill="1" applyBorder="1" applyAlignment="1">
      <alignment horizontal="center" vertical="center" wrapText="1" shrinkToFit="1"/>
    </xf>
    <xf numFmtId="176" fontId="13" fillId="11" borderId="10" xfId="0" applyNumberFormat="1" applyFont="1" applyFill="1" applyBorder="1" applyAlignment="1">
      <alignment horizontal="center"/>
    </xf>
    <xf numFmtId="176" fontId="13" fillId="12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9" fillId="12" borderId="10" xfId="0" applyNumberFormat="1" applyFont="1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/>
    </xf>
    <xf numFmtId="3" fontId="9" fillId="11" borderId="10" xfId="0" applyNumberFormat="1" applyFont="1" applyFill="1" applyBorder="1" applyAlignment="1">
      <alignment horizontal="center"/>
    </xf>
    <xf numFmtId="3" fontId="9" fillId="12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3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NumberFormat="1" applyFont="1" applyFill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 shrinkToFi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5" fontId="17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175" fontId="17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" fontId="20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top" wrapText="1" indent="3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98" zoomScaleNormal="98" zoomScalePageLayoutView="0" workbookViewId="0" topLeftCell="A14">
      <selection activeCell="J18" sqref="J18"/>
    </sheetView>
  </sheetViews>
  <sheetFormatPr defaultColWidth="9.00390625" defaultRowHeight="12.75"/>
  <cols>
    <col min="1" max="1" width="5.125" style="1" customWidth="1"/>
    <col min="2" max="2" width="28.25390625" style="2" customWidth="1"/>
    <col min="3" max="3" width="6.00390625" style="3" customWidth="1"/>
    <col min="4" max="4" width="12.25390625" style="4" customWidth="1"/>
    <col min="5" max="5" width="15.875" style="1" customWidth="1"/>
    <col min="6" max="6" width="15.25390625" style="1" customWidth="1"/>
    <col min="7" max="7" width="13.25390625" style="1" customWidth="1"/>
    <col min="8" max="8" width="11.125" style="1" customWidth="1"/>
    <col min="9" max="9" width="12.375" style="1" customWidth="1"/>
    <col min="10" max="10" width="11.875" style="1" customWidth="1"/>
    <col min="11" max="16384" width="9.125" style="1" customWidth="1"/>
  </cols>
  <sheetData>
    <row r="1" ht="35.25" customHeight="1" hidden="1"/>
    <row r="2" spans="1:8" ht="54" customHeight="1">
      <c r="A2" s="132" t="s">
        <v>24</v>
      </c>
      <c r="B2" s="132"/>
      <c r="C2" s="132"/>
      <c r="D2" s="132"/>
      <c r="E2" s="132"/>
      <c r="F2" s="132"/>
      <c r="G2" s="132"/>
      <c r="H2" s="132"/>
    </row>
    <row r="3" spans="1:10" ht="33.75" customHeight="1">
      <c r="A3" s="130" t="s">
        <v>0</v>
      </c>
      <c r="B3" s="128" t="s">
        <v>25</v>
      </c>
      <c r="C3" s="128" t="s">
        <v>26</v>
      </c>
      <c r="D3" s="126" t="s">
        <v>27</v>
      </c>
      <c r="E3" s="133" t="s">
        <v>28</v>
      </c>
      <c r="F3" s="134"/>
      <c r="G3" s="135"/>
      <c r="H3" s="133" t="s">
        <v>29</v>
      </c>
      <c r="I3" s="134"/>
      <c r="J3" s="135"/>
    </row>
    <row r="4" spans="1:10" ht="39" customHeight="1">
      <c r="A4" s="131"/>
      <c r="B4" s="129"/>
      <c r="C4" s="129"/>
      <c r="D4" s="127"/>
      <c r="E4" s="6" t="s">
        <v>30</v>
      </c>
      <c r="F4" s="6" t="s">
        <v>31</v>
      </c>
      <c r="G4" s="6" t="s">
        <v>32</v>
      </c>
      <c r="H4" s="6" t="s">
        <v>30</v>
      </c>
      <c r="I4" s="6" t="s">
        <v>31</v>
      </c>
      <c r="J4" s="6" t="s">
        <v>32</v>
      </c>
    </row>
    <row r="5" spans="1:10" ht="12.75">
      <c r="A5" s="7">
        <v>1</v>
      </c>
      <c r="B5" s="8" t="s">
        <v>33</v>
      </c>
      <c r="C5" s="8" t="s">
        <v>34</v>
      </c>
      <c r="D5" s="9" t="s">
        <v>35</v>
      </c>
      <c r="E5" s="11"/>
      <c r="F5" s="11"/>
      <c r="G5" s="11"/>
      <c r="H5" s="12"/>
      <c r="I5" s="12"/>
      <c r="J5" s="12"/>
    </row>
    <row r="6" spans="1:10" s="10" customFormat="1" ht="12.75" customHeight="1">
      <c r="A6" s="5">
        <v>1</v>
      </c>
      <c r="B6" s="13" t="s">
        <v>13</v>
      </c>
      <c r="C6" s="14">
        <v>2</v>
      </c>
      <c r="D6" s="15">
        <v>18619</v>
      </c>
      <c r="E6" s="16">
        <f>G6+F6</f>
        <v>81445568</v>
      </c>
      <c r="F6" s="16">
        <v>67570804</v>
      </c>
      <c r="G6" s="16">
        <v>13874764</v>
      </c>
      <c r="H6" s="16">
        <f>J6+I6</f>
        <v>364.53000000000003</v>
      </c>
      <c r="I6" s="16">
        <f>ROUND(F6/D6/12,2)</f>
        <v>302.43</v>
      </c>
      <c r="J6" s="16">
        <f>ROUND(G6/D6/12,2)</f>
        <v>62.1</v>
      </c>
    </row>
    <row r="7" spans="1:10" ht="25.5" customHeight="1">
      <c r="A7" s="5">
        <v>2</v>
      </c>
      <c r="B7" s="13" t="s">
        <v>9</v>
      </c>
      <c r="C7" s="14">
        <v>2</v>
      </c>
      <c r="D7" s="15">
        <v>69662</v>
      </c>
      <c r="E7" s="16">
        <f aca="true" t="shared" si="0" ref="E7:E38">G7+F7</f>
        <v>304725530</v>
      </c>
      <c r="F7" s="16">
        <v>252812487</v>
      </c>
      <c r="G7" s="16">
        <v>51913043</v>
      </c>
      <c r="H7" s="16">
        <f aca="true" t="shared" si="1" ref="H7:H38">J7+I7</f>
        <v>364.53000000000003</v>
      </c>
      <c r="I7" s="16">
        <f>ROUND(F7/D7/12,2)</f>
        <v>302.43</v>
      </c>
      <c r="J7" s="16">
        <f>ROUND(G7/D7/12,2)</f>
        <v>62.1</v>
      </c>
    </row>
    <row r="8" spans="1:10" s="21" customFormat="1" ht="13.5" customHeight="1">
      <c r="A8" s="17"/>
      <c r="B8" s="18"/>
      <c r="C8" s="19"/>
      <c r="D8" s="20">
        <f>SUM(D6:D7)</f>
        <v>88281</v>
      </c>
      <c r="E8" s="16"/>
      <c r="F8" s="16"/>
      <c r="G8" s="16"/>
      <c r="H8" s="16"/>
      <c r="I8" s="16"/>
      <c r="J8" s="16"/>
    </row>
    <row r="9" spans="1:10" ht="13.5" customHeight="1">
      <c r="A9" s="5">
        <v>3</v>
      </c>
      <c r="B9" s="13" t="s">
        <v>11</v>
      </c>
      <c r="C9" s="22" t="s">
        <v>36</v>
      </c>
      <c r="D9" s="15">
        <v>40183</v>
      </c>
      <c r="E9" s="16">
        <f t="shared" si="0"/>
        <v>168021022</v>
      </c>
      <c r="F9" s="16">
        <v>137675502</v>
      </c>
      <c r="G9" s="16">
        <v>30345520</v>
      </c>
      <c r="H9" s="16">
        <f t="shared" si="1"/>
        <v>348.45</v>
      </c>
      <c r="I9" s="16">
        <f>ROUND(F9/D9/12,2)</f>
        <v>285.52</v>
      </c>
      <c r="J9" s="16">
        <f>ROUND(G9/D9/12,2)</f>
        <v>62.93</v>
      </c>
    </row>
    <row r="10" spans="1:10" ht="15">
      <c r="A10" s="5">
        <v>4</v>
      </c>
      <c r="B10" s="13" t="s">
        <v>8</v>
      </c>
      <c r="C10" s="22" t="s">
        <v>36</v>
      </c>
      <c r="D10" s="15">
        <v>39614</v>
      </c>
      <c r="E10" s="16">
        <f t="shared" si="0"/>
        <v>165642109</v>
      </c>
      <c r="F10" s="16">
        <v>135726463</v>
      </c>
      <c r="G10" s="16">
        <v>29915646</v>
      </c>
      <c r="H10" s="16">
        <f t="shared" si="1"/>
        <v>348.45</v>
      </c>
      <c r="I10" s="16">
        <f>ROUND(F10/D10/12,2)</f>
        <v>285.52</v>
      </c>
      <c r="J10" s="16">
        <f>ROUND(G10/D10/12,2)</f>
        <v>62.93</v>
      </c>
    </row>
    <row r="11" spans="1:10" ht="15">
      <c r="A11" s="5">
        <v>5</v>
      </c>
      <c r="B11" s="13" t="s">
        <v>18</v>
      </c>
      <c r="C11" s="14">
        <v>1</v>
      </c>
      <c r="D11" s="15">
        <v>9648</v>
      </c>
      <c r="E11" s="16">
        <f t="shared" si="0"/>
        <v>40342112</v>
      </c>
      <c r="F11" s="16">
        <v>33056148</v>
      </c>
      <c r="G11" s="16">
        <v>7285964</v>
      </c>
      <c r="H11" s="16">
        <f t="shared" si="1"/>
        <v>348.45</v>
      </c>
      <c r="I11" s="16">
        <f>ROUND(F11/D11/12,2)</f>
        <v>285.52</v>
      </c>
      <c r="J11" s="16">
        <f>ROUND(G11/D11/12,2)</f>
        <v>62.93</v>
      </c>
    </row>
    <row r="12" spans="1:10" s="21" customFormat="1" ht="15" customHeight="1">
      <c r="A12" s="17"/>
      <c r="B12" s="18"/>
      <c r="C12" s="19"/>
      <c r="D12" s="20">
        <f>SUM(D9:D11)</f>
        <v>89445</v>
      </c>
      <c r="E12" s="16"/>
      <c r="F12" s="16"/>
      <c r="G12" s="16"/>
      <c r="H12" s="16"/>
      <c r="I12" s="16"/>
      <c r="J12" s="16"/>
    </row>
    <row r="13" spans="1:10" ht="15">
      <c r="A13" s="5">
        <v>6</v>
      </c>
      <c r="B13" s="13" t="s">
        <v>15</v>
      </c>
      <c r="C13" s="14">
        <v>2</v>
      </c>
      <c r="D13" s="15">
        <v>93048</v>
      </c>
      <c r="E13" s="16">
        <f t="shared" si="0"/>
        <v>376872399</v>
      </c>
      <c r="F13" s="16">
        <v>319932752</v>
      </c>
      <c r="G13" s="16">
        <v>56939647</v>
      </c>
      <c r="H13" s="16">
        <f t="shared" si="1"/>
        <v>337.52</v>
      </c>
      <c r="I13" s="16">
        <f>ROUND(F13/D13/12,2)</f>
        <v>286.53</v>
      </c>
      <c r="J13" s="16">
        <f>ROUND(G13/D13/12,2)</f>
        <v>50.99</v>
      </c>
    </row>
    <row r="14" spans="1:10" ht="15" customHeight="1">
      <c r="A14" s="5">
        <v>7</v>
      </c>
      <c r="B14" s="13" t="s">
        <v>7</v>
      </c>
      <c r="C14" s="22" t="s">
        <v>36</v>
      </c>
      <c r="D14" s="15">
        <v>28972</v>
      </c>
      <c r="E14" s="16">
        <f t="shared" si="0"/>
        <v>117345662</v>
      </c>
      <c r="F14" s="16">
        <v>99616666</v>
      </c>
      <c r="G14" s="16">
        <v>17728996</v>
      </c>
      <c r="H14" s="16">
        <f t="shared" si="1"/>
        <v>337.52</v>
      </c>
      <c r="I14" s="16">
        <f>ROUND(F14/D14/12,2)</f>
        <v>286.53</v>
      </c>
      <c r="J14" s="16">
        <f>ROUND(G14/D14/12,2)</f>
        <v>50.99</v>
      </c>
    </row>
    <row r="15" spans="1:10" ht="30">
      <c r="A15" s="5">
        <v>8</v>
      </c>
      <c r="B15" s="13" t="s">
        <v>16</v>
      </c>
      <c r="C15" s="22" t="s">
        <v>36</v>
      </c>
      <c r="D15" s="15">
        <v>27132</v>
      </c>
      <c r="E15" s="16">
        <f t="shared" si="0"/>
        <v>109892904</v>
      </c>
      <c r="F15" s="16">
        <v>93289847</v>
      </c>
      <c r="G15" s="16">
        <v>16603057</v>
      </c>
      <c r="H15" s="16">
        <f t="shared" si="1"/>
        <v>337.52</v>
      </c>
      <c r="I15" s="16">
        <f>ROUND(F15/D15/12,2)</f>
        <v>286.53</v>
      </c>
      <c r="J15" s="16">
        <f>ROUND(G15/D15/12,2)</f>
        <v>50.99</v>
      </c>
    </row>
    <row r="16" spans="1:10" ht="15">
      <c r="A16" s="5"/>
      <c r="B16" s="13"/>
      <c r="C16" s="22"/>
      <c r="D16" s="20">
        <f>SUM(D13:D15)</f>
        <v>149152</v>
      </c>
      <c r="E16" s="16"/>
      <c r="F16" s="16"/>
      <c r="G16" s="16"/>
      <c r="H16" s="16"/>
      <c r="I16" s="16"/>
      <c r="J16" s="16"/>
    </row>
    <row r="17" spans="1:10" ht="15" customHeight="1">
      <c r="A17" s="5">
        <f>A15+1</f>
        <v>9</v>
      </c>
      <c r="B17" s="13" t="s">
        <v>14</v>
      </c>
      <c r="C17" s="14">
        <v>2</v>
      </c>
      <c r="D17" s="15">
        <v>78141</v>
      </c>
      <c r="E17" s="16">
        <f t="shared" si="0"/>
        <v>290143285</v>
      </c>
      <c r="F17" s="16">
        <v>237221521</v>
      </c>
      <c r="G17" s="16">
        <v>52921764</v>
      </c>
      <c r="H17" s="16">
        <f t="shared" si="1"/>
        <v>309.41999999999996</v>
      </c>
      <c r="I17" s="16">
        <f>ROUND(F17/D17/12,2)</f>
        <v>252.98</v>
      </c>
      <c r="J17" s="16">
        <f>ROUND(G17/D17/12,2)</f>
        <v>56.44</v>
      </c>
    </row>
    <row r="18" spans="1:10" ht="30">
      <c r="A18" s="5">
        <v>10</v>
      </c>
      <c r="B18" s="13" t="s">
        <v>10</v>
      </c>
      <c r="C18" s="22" t="s">
        <v>36</v>
      </c>
      <c r="D18" s="15">
        <v>48546</v>
      </c>
      <c r="E18" s="16">
        <f t="shared" si="0"/>
        <v>180254017</v>
      </c>
      <c r="F18" s="16">
        <v>147376473</v>
      </c>
      <c r="G18" s="16">
        <v>32877544</v>
      </c>
      <c r="H18" s="16">
        <f t="shared" si="1"/>
        <v>309.41999999999996</v>
      </c>
      <c r="I18" s="16">
        <f>ROUND(F18/D18/12,2)</f>
        <v>252.98</v>
      </c>
      <c r="J18" s="16">
        <f>ROUND(G18/D18/12,2)</f>
        <v>56.44</v>
      </c>
    </row>
    <row r="19" spans="1:10" ht="15">
      <c r="A19" s="5">
        <v>11</v>
      </c>
      <c r="B19" s="13" t="s">
        <v>22</v>
      </c>
      <c r="C19" s="14">
        <v>2</v>
      </c>
      <c r="D19" s="15">
        <v>67765</v>
      </c>
      <c r="E19" s="16">
        <f t="shared" si="0"/>
        <v>251615699</v>
      </c>
      <c r="F19" s="16">
        <v>205722172</v>
      </c>
      <c r="G19" s="16">
        <v>45893527</v>
      </c>
      <c r="H19" s="16">
        <f t="shared" si="1"/>
        <v>309.41999999999996</v>
      </c>
      <c r="I19" s="16">
        <f>ROUND(F19/D19/12,2)</f>
        <v>252.98</v>
      </c>
      <c r="J19" s="16">
        <f>ROUND(G19/D19/12,2)</f>
        <v>56.44</v>
      </c>
    </row>
    <row r="20" spans="1:10" ht="15">
      <c r="A20" s="5"/>
      <c r="B20" s="13"/>
      <c r="C20" s="14"/>
      <c r="D20" s="20">
        <f>SUM(D17:D19)</f>
        <v>194452</v>
      </c>
      <c r="E20" s="16"/>
      <c r="F20" s="16"/>
      <c r="G20" s="16"/>
      <c r="H20" s="16"/>
      <c r="I20" s="16"/>
      <c r="J20" s="16"/>
    </row>
    <row r="21" spans="1:10" ht="30">
      <c r="A21" s="5">
        <v>12</v>
      </c>
      <c r="B21" s="13" t="s">
        <v>2</v>
      </c>
      <c r="C21" s="14">
        <v>2</v>
      </c>
      <c r="D21" s="15">
        <v>148656</v>
      </c>
      <c r="E21" s="16">
        <f t="shared" si="0"/>
        <v>522822878</v>
      </c>
      <c r="F21" s="16">
        <v>433887230</v>
      </c>
      <c r="G21" s="16">
        <v>88935648</v>
      </c>
      <c r="H21" s="16">
        <f t="shared" si="1"/>
        <v>293.09</v>
      </c>
      <c r="I21" s="16">
        <f>ROUND(F21/D21/12,2)</f>
        <v>243.23</v>
      </c>
      <c r="J21" s="16">
        <f>ROUND(G21/D21/12,2)</f>
        <v>49.86</v>
      </c>
    </row>
    <row r="22" spans="1:10" ht="30">
      <c r="A22" s="5">
        <v>13</v>
      </c>
      <c r="B22" s="13" t="s">
        <v>17</v>
      </c>
      <c r="C22" s="14">
        <v>2</v>
      </c>
      <c r="D22" s="15">
        <v>56752</v>
      </c>
      <c r="E22" s="16">
        <f t="shared" si="0"/>
        <v>199599732</v>
      </c>
      <c r="F22" s="16">
        <v>165644561</v>
      </c>
      <c r="G22" s="16">
        <v>33955171</v>
      </c>
      <c r="H22" s="16">
        <f t="shared" si="1"/>
        <v>293.09</v>
      </c>
      <c r="I22" s="16">
        <f>ROUND(F22/D22/12,2)</f>
        <v>243.23</v>
      </c>
      <c r="J22" s="16">
        <f>ROUND(G22/D22/12,2)</f>
        <v>49.86</v>
      </c>
    </row>
    <row r="23" spans="1:10" ht="15">
      <c r="A23" s="5"/>
      <c r="B23" s="13"/>
      <c r="C23" s="14"/>
      <c r="D23" s="20">
        <f>SUM(D21:D22)</f>
        <v>205408</v>
      </c>
      <c r="E23" s="16"/>
      <c r="F23" s="16"/>
      <c r="G23" s="16"/>
      <c r="H23" s="16"/>
      <c r="I23" s="16"/>
      <c r="J23" s="16"/>
    </row>
    <row r="24" spans="1:10" ht="30" customHeight="1">
      <c r="A24" s="5">
        <f>A22+1</f>
        <v>14</v>
      </c>
      <c r="B24" s="13" t="s">
        <v>12</v>
      </c>
      <c r="C24" s="14">
        <v>2</v>
      </c>
      <c r="D24" s="15">
        <v>74688</v>
      </c>
      <c r="E24" s="16">
        <f t="shared" si="0"/>
        <v>245919547</v>
      </c>
      <c r="F24" s="16">
        <v>199293352</v>
      </c>
      <c r="G24" s="16">
        <v>46626195</v>
      </c>
      <c r="H24" s="16">
        <f t="shared" si="1"/>
        <v>274.38</v>
      </c>
      <c r="I24" s="16">
        <f>ROUND(F24/D24/12,2)</f>
        <v>222.36</v>
      </c>
      <c r="J24" s="16">
        <f>ROUND(G24/D24/12,2)</f>
        <v>52.02</v>
      </c>
    </row>
    <row r="25" spans="1:10" ht="15" customHeight="1">
      <c r="A25" s="5">
        <f>A24+1</f>
        <v>15</v>
      </c>
      <c r="B25" s="13" t="s">
        <v>4</v>
      </c>
      <c r="C25" s="14">
        <v>2</v>
      </c>
      <c r="D25" s="15">
        <v>106336</v>
      </c>
      <c r="E25" s="16">
        <f t="shared" si="0"/>
        <v>350123709</v>
      </c>
      <c r="F25" s="16">
        <v>283740531</v>
      </c>
      <c r="G25" s="16">
        <v>66383178</v>
      </c>
      <c r="H25" s="16">
        <f t="shared" si="1"/>
        <v>274.38</v>
      </c>
      <c r="I25" s="16">
        <f>ROUND(F25/D25/12,2)</f>
        <v>222.36</v>
      </c>
      <c r="J25" s="16">
        <f>ROUND(G25/D25/12,2)</f>
        <v>52.02</v>
      </c>
    </row>
    <row r="26" spans="1:10" ht="15">
      <c r="A26" s="5"/>
      <c r="B26" s="13"/>
      <c r="C26" s="14"/>
      <c r="D26" s="20">
        <f>SUM(D24:D25)</f>
        <v>181024</v>
      </c>
      <c r="E26" s="16"/>
      <c r="F26" s="16"/>
      <c r="G26" s="16"/>
      <c r="H26" s="16"/>
      <c r="I26" s="16"/>
      <c r="J26" s="16"/>
    </row>
    <row r="27" spans="1:10" ht="15">
      <c r="A27" s="5">
        <v>16</v>
      </c>
      <c r="B27" s="13" t="s">
        <v>21</v>
      </c>
      <c r="C27" s="14">
        <v>2</v>
      </c>
      <c r="D27" s="15">
        <v>35628</v>
      </c>
      <c r="E27" s="16">
        <f t="shared" si="0"/>
        <v>114170928</v>
      </c>
      <c r="F27" s="16">
        <v>95140829</v>
      </c>
      <c r="G27" s="16">
        <v>19030099</v>
      </c>
      <c r="H27" s="16">
        <f t="shared" si="1"/>
        <v>267.04</v>
      </c>
      <c r="I27" s="16">
        <f>ROUND(F27/D27/12,2)</f>
        <v>222.53</v>
      </c>
      <c r="J27" s="16">
        <f>ROUND(G27/D27/12,2)</f>
        <v>44.51</v>
      </c>
    </row>
    <row r="28" spans="1:10" ht="15">
      <c r="A28" s="5">
        <v>17</v>
      </c>
      <c r="B28" s="13" t="s">
        <v>1</v>
      </c>
      <c r="C28" s="14">
        <v>1</v>
      </c>
      <c r="D28" s="15">
        <v>10171</v>
      </c>
      <c r="E28" s="16">
        <f t="shared" si="0"/>
        <v>32593037</v>
      </c>
      <c r="F28" s="16">
        <v>27160680</v>
      </c>
      <c r="G28" s="16">
        <v>5432357</v>
      </c>
      <c r="H28" s="16">
        <f t="shared" si="1"/>
        <v>267.04</v>
      </c>
      <c r="I28" s="16">
        <f>ROUND(F28/D28/12,2)</f>
        <v>222.53</v>
      </c>
      <c r="J28" s="16">
        <f>ROUND(G28/D28/12,2)</f>
        <v>44.51</v>
      </c>
    </row>
    <row r="29" spans="1:10" ht="15">
      <c r="A29" s="5"/>
      <c r="B29" s="13"/>
      <c r="C29" s="14"/>
      <c r="D29" s="20">
        <f>SUM(D27:D28)</f>
        <v>45799</v>
      </c>
      <c r="E29" s="16"/>
      <c r="F29" s="16"/>
      <c r="G29" s="16"/>
      <c r="H29" s="16"/>
      <c r="I29" s="16"/>
      <c r="J29" s="16"/>
    </row>
    <row r="30" spans="1:10" ht="15">
      <c r="A30" s="5">
        <v>18</v>
      </c>
      <c r="B30" s="13" t="s">
        <v>6</v>
      </c>
      <c r="C30" s="14">
        <v>2</v>
      </c>
      <c r="D30" s="15">
        <v>64972</v>
      </c>
      <c r="E30" s="16">
        <f t="shared" si="0"/>
        <v>199825379</v>
      </c>
      <c r="F30" s="16">
        <v>159863990</v>
      </c>
      <c r="G30" s="16">
        <v>39961389</v>
      </c>
      <c r="H30" s="16">
        <f t="shared" si="1"/>
        <v>256.28999999999996</v>
      </c>
      <c r="I30" s="16">
        <f>ROUND(F30/D30/12,2)</f>
        <v>205.04</v>
      </c>
      <c r="J30" s="16">
        <f>ROUND(G30/D30/12,2)</f>
        <v>51.25</v>
      </c>
    </row>
    <row r="31" spans="1:10" ht="15" customHeight="1">
      <c r="A31" s="5">
        <v>19</v>
      </c>
      <c r="B31" s="23" t="s">
        <v>23</v>
      </c>
      <c r="C31" s="14">
        <v>2</v>
      </c>
      <c r="D31" s="24">
        <v>67635</v>
      </c>
      <c r="E31" s="16">
        <f t="shared" si="0"/>
        <v>208015961</v>
      </c>
      <c r="F31" s="16">
        <v>166416522</v>
      </c>
      <c r="G31" s="16">
        <v>41599439</v>
      </c>
      <c r="H31" s="16">
        <f t="shared" si="1"/>
        <v>256.28999999999996</v>
      </c>
      <c r="I31" s="16">
        <f>ROUND(F31/D31/12,2)</f>
        <v>205.04</v>
      </c>
      <c r="J31" s="16">
        <f>ROUND(G31/D31/12,2)</f>
        <v>51.25</v>
      </c>
    </row>
    <row r="32" spans="1:10" ht="15">
      <c r="A32" s="5"/>
      <c r="B32" s="23"/>
      <c r="C32" s="14"/>
      <c r="D32" s="20">
        <f>SUM(D30:D31)</f>
        <v>132607</v>
      </c>
      <c r="E32" s="16"/>
      <c r="F32" s="16"/>
      <c r="G32" s="16"/>
      <c r="H32" s="16"/>
      <c r="I32" s="16"/>
      <c r="J32" s="16"/>
    </row>
    <row r="33" spans="1:10" ht="15">
      <c r="A33" s="5">
        <f>A31+1</f>
        <v>20</v>
      </c>
      <c r="B33" s="13" t="s">
        <v>19</v>
      </c>
      <c r="C33" s="14">
        <v>2</v>
      </c>
      <c r="D33" s="15">
        <v>53839</v>
      </c>
      <c r="E33" s="16">
        <f t="shared" si="0"/>
        <v>153107233</v>
      </c>
      <c r="F33" s="16">
        <v>125064791</v>
      </c>
      <c r="G33" s="16">
        <v>28042442</v>
      </c>
      <c r="H33" s="16">
        <f t="shared" si="1"/>
        <v>236.98000000000002</v>
      </c>
      <c r="I33" s="16">
        <f>ROUND(F33/D33/12,2)</f>
        <v>193.58</v>
      </c>
      <c r="J33" s="16">
        <f>ROUND(G33/D33/12,2)</f>
        <v>43.4</v>
      </c>
    </row>
    <row r="34" spans="1:10" ht="30" customHeight="1">
      <c r="A34" s="5">
        <f>A33+1</f>
        <v>21</v>
      </c>
      <c r="B34" s="13" t="s">
        <v>3</v>
      </c>
      <c r="C34" s="14">
        <v>2</v>
      </c>
      <c r="D34" s="15">
        <v>66065</v>
      </c>
      <c r="E34" s="16">
        <f t="shared" si="0"/>
        <v>187875597</v>
      </c>
      <c r="F34" s="16">
        <v>153465113</v>
      </c>
      <c r="G34" s="16">
        <v>34410484</v>
      </c>
      <c r="H34" s="16">
        <f t="shared" si="1"/>
        <v>236.98000000000002</v>
      </c>
      <c r="I34" s="16">
        <f>ROUND(F34/D34/12,2)</f>
        <v>193.58</v>
      </c>
      <c r="J34" s="16">
        <f>ROUND(G34/D34/12,2)</f>
        <v>43.4</v>
      </c>
    </row>
    <row r="35" spans="1:10" ht="15">
      <c r="A35" s="5">
        <v>22</v>
      </c>
      <c r="B35" s="13" t="s">
        <v>20</v>
      </c>
      <c r="C35" s="14">
        <v>2</v>
      </c>
      <c r="D35" s="15">
        <v>30238</v>
      </c>
      <c r="E35" s="16">
        <f t="shared" si="0"/>
        <v>85990677</v>
      </c>
      <c r="F35" s="16">
        <v>70241119</v>
      </c>
      <c r="G35" s="16">
        <v>15749558</v>
      </c>
      <c r="H35" s="16">
        <f t="shared" si="1"/>
        <v>236.98000000000002</v>
      </c>
      <c r="I35" s="16">
        <f>ROUND(F35/D35/12,2)</f>
        <v>193.58</v>
      </c>
      <c r="J35" s="16">
        <f>ROUND(G35/D35/12,2)</f>
        <v>43.4</v>
      </c>
    </row>
    <row r="36" spans="1:10" ht="15">
      <c r="A36" s="5"/>
      <c r="B36" s="13"/>
      <c r="C36" s="14"/>
      <c r="D36" s="20">
        <f>SUM(D33:D35)</f>
        <v>150142</v>
      </c>
      <c r="E36" s="16"/>
      <c r="F36" s="16"/>
      <c r="G36" s="16"/>
      <c r="H36" s="16"/>
      <c r="I36" s="16"/>
      <c r="J36" s="16"/>
    </row>
    <row r="37" spans="1:10" ht="15">
      <c r="A37" s="5">
        <v>23</v>
      </c>
      <c r="B37" s="13" t="s">
        <v>37</v>
      </c>
      <c r="C37" s="14">
        <v>2</v>
      </c>
      <c r="D37" s="15">
        <v>107297</v>
      </c>
      <c r="E37" s="16">
        <f t="shared" si="0"/>
        <v>261113339</v>
      </c>
      <c r="F37" s="16">
        <v>194081346</v>
      </c>
      <c r="G37" s="16">
        <v>67031993</v>
      </c>
      <c r="H37" s="16">
        <f t="shared" si="1"/>
        <v>202.8</v>
      </c>
      <c r="I37" s="16">
        <f>ROUND(F37/D37/12,2)</f>
        <v>150.74</v>
      </c>
      <c r="J37" s="16">
        <f>ROUND(G37/D37/12,2)</f>
        <v>52.06</v>
      </c>
    </row>
    <row r="38" spans="1:10" ht="15" customHeight="1">
      <c r="A38" s="5">
        <v>24</v>
      </c>
      <c r="B38" s="13" t="s">
        <v>5</v>
      </c>
      <c r="C38" s="14">
        <v>2</v>
      </c>
      <c r="D38" s="15">
        <v>203088</v>
      </c>
      <c r="E38" s="16">
        <f t="shared" si="0"/>
        <v>494225182</v>
      </c>
      <c r="F38" s="16">
        <v>367350451</v>
      </c>
      <c r="G38" s="16">
        <v>126874731</v>
      </c>
      <c r="H38" s="16">
        <f t="shared" si="1"/>
        <v>202.8</v>
      </c>
      <c r="I38" s="16">
        <f>ROUND(F38/D38/12,2)</f>
        <v>150.74</v>
      </c>
      <c r="J38" s="16">
        <f>ROUND(G38/D38/12,2)</f>
        <v>52.06</v>
      </c>
    </row>
    <row r="39" spans="4:10" ht="12.75">
      <c r="D39" s="20">
        <f>SUM(D37:D38)</f>
        <v>310385</v>
      </c>
      <c r="E39" s="16"/>
      <c r="F39" s="16"/>
      <c r="G39" s="16"/>
      <c r="H39" s="16"/>
      <c r="I39" s="16"/>
      <c r="J39" s="16"/>
    </row>
    <row r="40" spans="1:10" s="29" customFormat="1" ht="15" customHeight="1">
      <c r="A40" s="25"/>
      <c r="B40" s="26" t="s">
        <v>38</v>
      </c>
      <c r="C40" s="27"/>
      <c r="D40" s="28">
        <f>D39+D36+D32+D29+D26+D23+D20+D16+D12+D8</f>
        <v>1546695</v>
      </c>
      <c r="E40" s="31">
        <f>SUM(E6:E39)</f>
        <v>5141683506</v>
      </c>
      <c r="F40" s="31">
        <f>SUM(F6:F39)</f>
        <v>4171351350</v>
      </c>
      <c r="G40" s="31">
        <f>SUM(G6:G39)</f>
        <v>970332156</v>
      </c>
      <c r="H40" s="30"/>
      <c r="I40" s="30"/>
      <c r="J40" s="30"/>
    </row>
    <row r="41" spans="2:10" ht="15">
      <c r="B41" s="32" t="s">
        <v>39</v>
      </c>
      <c r="C41" s="33"/>
      <c r="D41" s="34"/>
      <c r="E41" s="12"/>
      <c r="F41" s="35">
        <v>4171353315</v>
      </c>
      <c r="G41" s="35">
        <v>970329687</v>
      </c>
      <c r="H41" s="12"/>
      <c r="I41" s="12"/>
      <c r="J41" s="12"/>
    </row>
    <row r="42" spans="2:10" ht="15">
      <c r="B42" s="32" t="s">
        <v>40</v>
      </c>
      <c r="C42" s="33"/>
      <c r="D42" s="34"/>
      <c r="E42" s="12"/>
      <c r="F42" s="16">
        <f>F40-F41</f>
        <v>-1965</v>
      </c>
      <c r="G42" s="16">
        <f>G40-G41</f>
        <v>2469</v>
      </c>
      <c r="H42" s="12"/>
      <c r="I42" s="12"/>
      <c r="J42" s="12"/>
    </row>
  </sheetData>
  <sheetProtection/>
  <mergeCells count="7">
    <mergeCell ref="D3:D4"/>
    <mergeCell ref="C3:C4"/>
    <mergeCell ref="B3:B4"/>
    <mergeCell ref="A3:A4"/>
    <mergeCell ref="A2:H2"/>
    <mergeCell ref="H3:J3"/>
    <mergeCell ref="E3:G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2">
      <pane xSplit="3" ySplit="6" topLeftCell="N15" activePane="bottomRight" state="frozen"/>
      <selection pane="topLeft" activeCell="A2" sqref="A2"/>
      <selection pane="topRight" activeCell="D2" sqref="D2"/>
      <selection pane="bottomLeft" activeCell="A8" sqref="A8"/>
      <selection pane="bottomRight" activeCell="P8" sqref="P8:P40"/>
    </sheetView>
  </sheetViews>
  <sheetFormatPr defaultColWidth="9.00390625" defaultRowHeight="12.75"/>
  <cols>
    <col min="1" max="1" width="5.125" style="1" customWidth="1"/>
    <col min="2" max="2" width="28.25390625" style="2" customWidth="1"/>
    <col min="3" max="3" width="12.25390625" style="4" customWidth="1"/>
    <col min="4" max="4" width="15.25390625" style="50" customWidth="1"/>
    <col min="5" max="5" width="12.875" style="50" customWidth="1"/>
    <col min="6" max="6" width="13.125" style="50" customWidth="1"/>
    <col min="7" max="7" width="13.25390625" style="50" customWidth="1"/>
    <col min="8" max="8" width="9.00390625" style="3" customWidth="1"/>
    <col min="9" max="9" width="9.75390625" style="3" customWidth="1"/>
    <col min="10" max="10" width="11.25390625" style="3" customWidth="1"/>
    <col min="11" max="11" width="9.875" style="50" customWidth="1"/>
    <col min="12" max="12" width="10.875" style="50" customWidth="1"/>
    <col min="13" max="13" width="12.25390625" style="50" customWidth="1"/>
    <col min="14" max="15" width="11.875" style="50" customWidth="1"/>
    <col min="16" max="17" width="10.875" style="3" customWidth="1"/>
    <col min="18" max="18" width="12.25390625" style="4" customWidth="1"/>
    <col min="19" max="19" width="9.625" style="4" customWidth="1"/>
    <col min="20" max="20" width="11.00390625" style="59" hidden="1" customWidth="1"/>
    <col min="21" max="21" width="10.875" style="66" hidden="1" customWidth="1"/>
    <col min="22" max="22" width="10.625" style="59" hidden="1" customWidth="1"/>
    <col min="23" max="23" width="9.875" style="66" hidden="1" customWidth="1"/>
    <col min="24" max="24" width="9.875" style="66" customWidth="1"/>
    <col min="25" max="27" width="10.875" style="66" customWidth="1"/>
    <col min="28" max="30" width="12.125" style="50" customWidth="1"/>
    <col min="31" max="31" width="11.00390625" style="50" customWidth="1"/>
    <col min="32" max="32" width="9.125" style="50" customWidth="1"/>
    <col min="33" max="34" width="9.125" style="46" customWidth="1"/>
    <col min="35" max="16384" width="9.125" style="1" customWidth="1"/>
  </cols>
  <sheetData>
    <row r="1" ht="12.75" customHeight="1" hidden="1"/>
    <row r="2" spans="1:20" ht="22.5" customHeight="1">
      <c r="A2" s="43"/>
      <c r="B2" s="132" t="s">
        <v>102</v>
      </c>
      <c r="C2" s="153"/>
      <c r="D2" s="153"/>
      <c r="E2" s="153"/>
      <c r="F2" s="153"/>
      <c r="G2" s="90"/>
      <c r="H2" s="65"/>
      <c r="R2" s="1"/>
      <c r="S2" s="1"/>
      <c r="T2" s="60"/>
    </row>
    <row r="3" spans="1:20" ht="22.5" customHeight="1">
      <c r="A3" s="43"/>
      <c r="B3" s="42"/>
      <c r="C3" s="154" t="s">
        <v>69</v>
      </c>
      <c r="D3" s="154"/>
      <c r="E3" s="154"/>
      <c r="F3" s="154"/>
      <c r="G3" s="154"/>
      <c r="H3" s="154"/>
      <c r="I3" s="154"/>
      <c r="J3" s="154"/>
      <c r="R3" s="1"/>
      <c r="S3" s="1"/>
      <c r="T3" s="60"/>
    </row>
    <row r="4" spans="1:34" s="45" customFormat="1" ht="30.75" customHeight="1">
      <c r="A4" s="155" t="s">
        <v>0</v>
      </c>
      <c r="B4" s="156" t="s">
        <v>25</v>
      </c>
      <c r="C4" s="152" t="s">
        <v>27</v>
      </c>
      <c r="D4" s="157" t="s">
        <v>61</v>
      </c>
      <c r="E4" s="157"/>
      <c r="F4" s="157"/>
      <c r="G4" s="157"/>
      <c r="H4" s="145" t="s">
        <v>57</v>
      </c>
      <c r="I4" s="145"/>
      <c r="J4" s="145"/>
      <c r="K4" s="136" t="s">
        <v>59</v>
      </c>
      <c r="L4" s="136" t="s">
        <v>60</v>
      </c>
      <c r="M4" s="149" t="s">
        <v>62</v>
      </c>
      <c r="N4" s="150"/>
      <c r="O4" s="151"/>
      <c r="P4" s="142" t="s">
        <v>63</v>
      </c>
      <c r="Q4" s="142" t="s">
        <v>64</v>
      </c>
      <c r="R4" s="152" t="s">
        <v>54</v>
      </c>
      <c r="S4" s="126" t="s">
        <v>53</v>
      </c>
      <c r="T4" s="126" t="s">
        <v>65</v>
      </c>
      <c r="U4" s="145" t="s">
        <v>66</v>
      </c>
      <c r="V4" s="126" t="s">
        <v>68</v>
      </c>
      <c r="W4" s="145" t="s">
        <v>67</v>
      </c>
      <c r="X4" s="146" t="s">
        <v>74</v>
      </c>
      <c r="Y4" s="147"/>
      <c r="Z4" s="147"/>
      <c r="AA4" s="147"/>
      <c r="AB4" s="147"/>
      <c r="AC4" s="148"/>
      <c r="AD4" s="136" t="s">
        <v>79</v>
      </c>
      <c r="AE4" s="136" t="s">
        <v>80</v>
      </c>
      <c r="AF4" s="142" t="s">
        <v>101</v>
      </c>
      <c r="AG4" s="71"/>
      <c r="AH4" s="71"/>
    </row>
    <row r="5" spans="1:32" ht="57.75" customHeight="1">
      <c r="A5" s="155"/>
      <c r="B5" s="156"/>
      <c r="C5" s="152"/>
      <c r="D5" s="48" t="s">
        <v>30</v>
      </c>
      <c r="E5" s="48" t="s">
        <v>55</v>
      </c>
      <c r="F5" s="48" t="s">
        <v>31</v>
      </c>
      <c r="G5" s="48" t="s">
        <v>32</v>
      </c>
      <c r="H5" s="6" t="s">
        <v>30</v>
      </c>
      <c r="I5" s="6" t="s">
        <v>31</v>
      </c>
      <c r="J5" s="6" t="s">
        <v>32</v>
      </c>
      <c r="K5" s="137"/>
      <c r="L5" s="137"/>
      <c r="M5" s="48" t="s">
        <v>30</v>
      </c>
      <c r="N5" s="48" t="s">
        <v>70</v>
      </c>
      <c r="O5" s="48" t="s">
        <v>71</v>
      </c>
      <c r="P5" s="144"/>
      <c r="Q5" s="144"/>
      <c r="R5" s="152"/>
      <c r="S5" s="127"/>
      <c r="T5" s="127"/>
      <c r="U5" s="145"/>
      <c r="V5" s="127"/>
      <c r="W5" s="145"/>
      <c r="X5" s="138" t="s">
        <v>72</v>
      </c>
      <c r="Y5" s="139"/>
      <c r="Z5" s="140" t="s">
        <v>73</v>
      </c>
      <c r="AA5" s="141"/>
      <c r="AB5" s="78" t="s">
        <v>58</v>
      </c>
      <c r="AC5" s="78" t="s">
        <v>78</v>
      </c>
      <c r="AD5" s="137"/>
      <c r="AE5" s="137"/>
      <c r="AF5" s="143"/>
    </row>
    <row r="6" spans="1:32" ht="25.5">
      <c r="A6" s="5"/>
      <c r="B6" s="37"/>
      <c r="C6" s="38"/>
      <c r="D6" s="48"/>
      <c r="E6" s="48"/>
      <c r="F6" s="48"/>
      <c r="G6" s="48"/>
      <c r="H6" s="6"/>
      <c r="I6" s="6"/>
      <c r="J6" s="6"/>
      <c r="K6" s="51"/>
      <c r="L6" s="51"/>
      <c r="M6" s="48"/>
      <c r="N6" s="48"/>
      <c r="O6" s="48"/>
      <c r="P6" s="41"/>
      <c r="Q6" s="41"/>
      <c r="R6" s="38"/>
      <c r="S6" s="39"/>
      <c r="T6" s="39"/>
      <c r="U6" s="44"/>
      <c r="V6" s="39"/>
      <c r="W6" s="44"/>
      <c r="X6" s="44" t="s">
        <v>75</v>
      </c>
      <c r="Y6" s="44" t="s">
        <v>76</v>
      </c>
      <c r="Z6" s="44" t="s">
        <v>77</v>
      </c>
      <c r="AA6" s="44" t="s">
        <v>76</v>
      </c>
      <c r="AB6" s="47" t="s">
        <v>76</v>
      </c>
      <c r="AC6" s="47" t="s">
        <v>76</v>
      </c>
      <c r="AD6" s="47" t="s">
        <v>76</v>
      </c>
      <c r="AE6" s="47" t="s">
        <v>76</v>
      </c>
      <c r="AF6" s="144"/>
    </row>
    <row r="7" spans="1:32" s="75" customFormat="1" ht="22.5">
      <c r="A7" s="84">
        <v>1</v>
      </c>
      <c r="B7" s="87" t="s">
        <v>33</v>
      </c>
      <c r="C7" s="85" t="s">
        <v>41</v>
      </c>
      <c r="D7" s="84" t="s">
        <v>42</v>
      </c>
      <c r="E7" s="84" t="s">
        <v>81</v>
      </c>
      <c r="F7" s="84">
        <v>7</v>
      </c>
      <c r="G7" s="84">
        <v>8</v>
      </c>
      <c r="H7" s="79" t="s">
        <v>82</v>
      </c>
      <c r="I7" s="79" t="s">
        <v>83</v>
      </c>
      <c r="J7" s="79" t="s">
        <v>84</v>
      </c>
      <c r="K7" s="79">
        <v>12</v>
      </c>
      <c r="L7" s="79">
        <v>13</v>
      </c>
      <c r="M7" s="86" t="s">
        <v>85</v>
      </c>
      <c r="N7" s="85" t="s">
        <v>96</v>
      </c>
      <c r="O7" s="85" t="s">
        <v>86</v>
      </c>
      <c r="P7" s="79">
        <v>17</v>
      </c>
      <c r="Q7" s="79">
        <v>18</v>
      </c>
      <c r="R7" s="85" t="s">
        <v>87</v>
      </c>
      <c r="S7" s="85" t="s">
        <v>88</v>
      </c>
      <c r="T7" s="88" t="s">
        <v>56</v>
      </c>
      <c r="U7" s="79" t="s">
        <v>90</v>
      </c>
      <c r="V7" s="88" t="s">
        <v>89</v>
      </c>
      <c r="W7" s="79" t="s">
        <v>91</v>
      </c>
      <c r="X7" s="79">
        <v>25</v>
      </c>
      <c r="Y7" s="79" t="s">
        <v>92</v>
      </c>
      <c r="Z7" s="79">
        <v>27</v>
      </c>
      <c r="AA7" s="79" t="s">
        <v>93</v>
      </c>
      <c r="AB7" s="79" t="s">
        <v>94</v>
      </c>
      <c r="AC7" s="79">
        <v>30</v>
      </c>
      <c r="AD7" s="79" t="s">
        <v>95</v>
      </c>
      <c r="AE7" s="79">
        <v>32</v>
      </c>
      <c r="AF7" s="79">
        <v>34</v>
      </c>
    </row>
    <row r="8" spans="1:34" s="10" customFormat="1" ht="15">
      <c r="A8" s="5">
        <v>1</v>
      </c>
      <c r="B8" s="13" t="s">
        <v>13</v>
      </c>
      <c r="C8" s="15">
        <v>18619</v>
      </c>
      <c r="D8" s="52">
        <f>G8+F8</f>
        <v>81445568</v>
      </c>
      <c r="E8" s="52">
        <f>D8/12</f>
        <v>6787130.666666667</v>
      </c>
      <c r="F8" s="52">
        <v>67570804</v>
      </c>
      <c r="G8" s="52">
        <v>13874764</v>
      </c>
      <c r="H8" s="40">
        <f>J8+I8</f>
        <v>364.53000000000003</v>
      </c>
      <c r="I8" s="40">
        <f>ROUND(F8/C8/12,2)</f>
        <v>302.43</v>
      </c>
      <c r="J8" s="40">
        <f>ROUND(G8/C8/12,2)</f>
        <v>62.1</v>
      </c>
      <c r="K8" s="52"/>
      <c r="L8" s="52"/>
      <c r="M8" s="35">
        <f>D8/12*10</f>
        <v>67871306.66666667</v>
      </c>
      <c r="N8" s="35">
        <f>M8/10</f>
        <v>6787130.666666667</v>
      </c>
      <c r="O8" s="35">
        <f>N8</f>
        <v>6787130.666666667</v>
      </c>
      <c r="P8" s="40">
        <f>H8</f>
        <v>364.53000000000003</v>
      </c>
      <c r="Q8" s="40">
        <f>P8</f>
        <v>364.53000000000003</v>
      </c>
      <c r="R8" s="15">
        <v>16696</v>
      </c>
      <c r="S8" s="15">
        <f>R8-C8</f>
        <v>-1923</v>
      </c>
      <c r="T8" s="61"/>
      <c r="U8" s="67">
        <f>ROUND(P8*$T$10,2)</f>
        <v>368.15</v>
      </c>
      <c r="V8" s="61"/>
      <c r="W8" s="67">
        <f>ROUND(Q8*$V$10,2)</f>
        <v>368.15</v>
      </c>
      <c r="X8" s="76">
        <v>18695</v>
      </c>
      <c r="Y8" s="76">
        <f aca="true" t="shared" si="0" ref="Y8:Y41">X8*H8</f>
        <v>6814888.350000001</v>
      </c>
      <c r="Z8" s="67">
        <v>16706</v>
      </c>
      <c r="AA8" s="67">
        <f aca="true" t="shared" si="1" ref="AA8:AA41">Z8*H8</f>
        <v>6089838.180000001</v>
      </c>
      <c r="AB8" s="52">
        <f>R8*P8</f>
        <v>6086192.880000001</v>
      </c>
      <c r="AC8" s="52">
        <f>Y8+AA8+AB8</f>
        <v>18990919.410000004</v>
      </c>
      <c r="AD8" s="52">
        <f aca="true" t="shared" si="2" ref="AD8:AD41">E8*2+N8</f>
        <v>20361392</v>
      </c>
      <c r="AE8" s="52">
        <f>AD8-AC8</f>
        <v>1370472.5899999961</v>
      </c>
      <c r="AF8" s="89">
        <f>ROUND(AE8/R8,2)</f>
        <v>82.08</v>
      </c>
      <c r="AG8" s="72"/>
      <c r="AH8" s="72"/>
    </row>
    <row r="9" spans="1:32" ht="15">
      <c r="A9" s="5">
        <v>2</v>
      </c>
      <c r="B9" s="13" t="s">
        <v>9</v>
      </c>
      <c r="C9" s="15">
        <v>69662</v>
      </c>
      <c r="D9" s="52">
        <f aca="true" t="shared" si="3" ref="D9:D40">G9+F9</f>
        <v>304725530</v>
      </c>
      <c r="E9" s="52">
        <f aca="true" t="shared" si="4" ref="E9:E41">D9/12</f>
        <v>25393794.166666668</v>
      </c>
      <c r="F9" s="52">
        <v>252812487</v>
      </c>
      <c r="G9" s="52">
        <v>51913043</v>
      </c>
      <c r="H9" s="40">
        <f aca="true" t="shared" si="5" ref="H9:H40">J9+I9</f>
        <v>364.53000000000003</v>
      </c>
      <c r="I9" s="40">
        <f>ROUND(F9/C9/12,2)</f>
        <v>302.43</v>
      </c>
      <c r="J9" s="40">
        <f>ROUND(G9/C9/12,2)</f>
        <v>62.1</v>
      </c>
      <c r="K9" s="52"/>
      <c r="L9" s="52"/>
      <c r="M9" s="35">
        <f aca="true" t="shared" si="6" ref="M9:M41">D9/12*10</f>
        <v>253937941.6666667</v>
      </c>
      <c r="N9" s="35">
        <f aca="true" t="shared" si="7" ref="N9:N17">M9/10</f>
        <v>25393794.166666668</v>
      </c>
      <c r="O9" s="35">
        <f aca="true" t="shared" si="8" ref="O9:O18">N9</f>
        <v>25393794.166666668</v>
      </c>
      <c r="P9" s="40">
        <f>H9</f>
        <v>364.53000000000003</v>
      </c>
      <c r="Q9" s="40">
        <f>P9</f>
        <v>364.53000000000003</v>
      </c>
      <c r="R9" s="15">
        <v>70717</v>
      </c>
      <c r="S9" s="15">
        <f>R9-C9</f>
        <v>1055</v>
      </c>
      <c r="T9" s="61"/>
      <c r="U9" s="67">
        <f>ROUND(P9*$T$10,2)</f>
        <v>368.15</v>
      </c>
      <c r="V9" s="61"/>
      <c r="W9" s="67">
        <f>ROUND(Q9*$V$10,2)</f>
        <v>368.15</v>
      </c>
      <c r="X9" s="76">
        <v>70816</v>
      </c>
      <c r="Y9" s="76">
        <f t="shared" si="0"/>
        <v>25814556.48</v>
      </c>
      <c r="Z9" s="67">
        <v>70700</v>
      </c>
      <c r="AA9" s="67">
        <f t="shared" si="1"/>
        <v>25772271.000000004</v>
      </c>
      <c r="AB9" s="52">
        <f>R9*P9</f>
        <v>25778468.01</v>
      </c>
      <c r="AC9" s="52">
        <f aca="true" t="shared" si="9" ref="AC9:AC41">Y9+AA9+AB9</f>
        <v>77365295.49000001</v>
      </c>
      <c r="AD9" s="52">
        <f t="shared" si="2"/>
        <v>76181382.5</v>
      </c>
      <c r="AE9" s="52">
        <f aca="true" t="shared" si="10" ref="AE9:AE44">AD9-AC9</f>
        <v>-1183912.9900000095</v>
      </c>
      <c r="AF9" s="89">
        <f aca="true" t="shared" si="11" ref="AF9:AF40">ROUND(AE9/R9,2)</f>
        <v>-16.74</v>
      </c>
    </row>
    <row r="10" spans="1:34" s="21" customFormat="1" ht="14.25">
      <c r="A10" s="17"/>
      <c r="B10" s="18" t="s">
        <v>43</v>
      </c>
      <c r="C10" s="20">
        <f>SUM(C8:C9)</f>
        <v>88281</v>
      </c>
      <c r="D10" s="52"/>
      <c r="E10" s="52">
        <f t="shared" si="4"/>
        <v>0</v>
      </c>
      <c r="F10" s="52"/>
      <c r="G10" s="52"/>
      <c r="H10" s="40"/>
      <c r="I10" s="40"/>
      <c r="J10" s="40"/>
      <c r="K10" s="52"/>
      <c r="L10" s="52"/>
      <c r="M10" s="35">
        <f t="shared" si="6"/>
        <v>0</v>
      </c>
      <c r="N10" s="35">
        <f t="shared" si="7"/>
        <v>0</v>
      </c>
      <c r="O10" s="35">
        <f t="shared" si="8"/>
        <v>0</v>
      </c>
      <c r="P10" s="40"/>
      <c r="Q10" s="40"/>
      <c r="R10" s="20">
        <f>SUM(R8:R9)</f>
        <v>87413</v>
      </c>
      <c r="S10" s="20">
        <f>SUM(S8:S9)</f>
        <v>-868</v>
      </c>
      <c r="T10" s="62">
        <f>ROUND(C10/R10,6)</f>
        <v>1.00993</v>
      </c>
      <c r="U10" s="68"/>
      <c r="V10" s="62">
        <f>T10</f>
        <v>1.00993</v>
      </c>
      <c r="W10" s="68"/>
      <c r="X10" s="80"/>
      <c r="Y10" s="76">
        <f t="shared" si="0"/>
        <v>0</v>
      </c>
      <c r="Z10" s="68"/>
      <c r="AA10" s="67">
        <f t="shared" si="1"/>
        <v>0</v>
      </c>
      <c r="AB10" s="52">
        <f aca="true" t="shared" si="12" ref="AB10:AB41">R10*P10</f>
        <v>0</v>
      </c>
      <c r="AC10" s="52">
        <f t="shared" si="9"/>
        <v>0</v>
      </c>
      <c r="AD10" s="52">
        <f t="shared" si="2"/>
        <v>0</v>
      </c>
      <c r="AE10" s="52">
        <f t="shared" si="10"/>
        <v>0</v>
      </c>
      <c r="AF10" s="89">
        <f t="shared" si="11"/>
        <v>0</v>
      </c>
      <c r="AG10" s="73"/>
      <c r="AH10" s="73"/>
    </row>
    <row r="11" spans="1:32" ht="15">
      <c r="A11" s="5">
        <v>3</v>
      </c>
      <c r="B11" s="13" t="s">
        <v>11</v>
      </c>
      <c r="C11" s="15">
        <v>40183</v>
      </c>
      <c r="D11" s="52">
        <f t="shared" si="3"/>
        <v>168021022</v>
      </c>
      <c r="E11" s="52">
        <f t="shared" si="4"/>
        <v>14001751.833333334</v>
      </c>
      <c r="F11" s="52">
        <v>137675502</v>
      </c>
      <c r="G11" s="52">
        <v>30345520</v>
      </c>
      <c r="H11" s="40">
        <f t="shared" si="5"/>
        <v>348.45</v>
      </c>
      <c r="I11" s="40">
        <f>ROUND(F11/C11/12,2)</f>
        <v>285.52</v>
      </c>
      <c r="J11" s="40">
        <f>ROUND(G11/C11/12,2)</f>
        <v>62.93</v>
      </c>
      <c r="K11" s="52"/>
      <c r="L11" s="52"/>
      <c r="M11" s="35">
        <f t="shared" si="6"/>
        <v>140017518.33333334</v>
      </c>
      <c r="N11" s="35">
        <f t="shared" si="7"/>
        <v>14001751.833333334</v>
      </c>
      <c r="O11" s="35">
        <f t="shared" si="8"/>
        <v>14001751.833333334</v>
      </c>
      <c r="P11" s="40">
        <f>H11</f>
        <v>348.45</v>
      </c>
      <c r="Q11" s="40">
        <f>P11</f>
        <v>348.45</v>
      </c>
      <c r="R11" s="15">
        <v>39958</v>
      </c>
      <c r="S11" s="15">
        <f>R11-C11</f>
        <v>-225</v>
      </c>
      <c r="T11" s="61"/>
      <c r="U11" s="67">
        <f>ROUND(P11*$T$14,2)</f>
        <v>352.9</v>
      </c>
      <c r="V11" s="61"/>
      <c r="W11" s="67">
        <f>ROUND(Q11*$V$14,2)</f>
        <v>352.9</v>
      </c>
      <c r="X11" s="76">
        <v>40083</v>
      </c>
      <c r="Y11" s="76">
        <f t="shared" si="0"/>
        <v>13966921.35</v>
      </c>
      <c r="Z11" s="67">
        <v>39967</v>
      </c>
      <c r="AA11" s="67">
        <f t="shared" si="1"/>
        <v>13926501.15</v>
      </c>
      <c r="AB11" s="52">
        <f t="shared" si="12"/>
        <v>13923365.1</v>
      </c>
      <c r="AC11" s="52">
        <f t="shared" si="9"/>
        <v>41816787.6</v>
      </c>
      <c r="AD11" s="52">
        <f t="shared" si="2"/>
        <v>42005255.5</v>
      </c>
      <c r="AE11" s="52">
        <f t="shared" si="10"/>
        <v>188467.8999999985</v>
      </c>
      <c r="AF11" s="89">
        <f t="shared" si="11"/>
        <v>4.72</v>
      </c>
    </row>
    <row r="12" spans="1:32" ht="15">
      <c r="A12" s="5">
        <v>4</v>
      </c>
      <c r="B12" s="13" t="s">
        <v>8</v>
      </c>
      <c r="C12" s="15">
        <v>39614</v>
      </c>
      <c r="D12" s="52">
        <f t="shared" si="3"/>
        <v>165642109</v>
      </c>
      <c r="E12" s="52">
        <f t="shared" si="4"/>
        <v>13803509.083333334</v>
      </c>
      <c r="F12" s="52">
        <v>135726463</v>
      </c>
      <c r="G12" s="52">
        <v>29915646</v>
      </c>
      <c r="H12" s="40">
        <f t="shared" si="5"/>
        <v>348.45</v>
      </c>
      <c r="I12" s="40">
        <f>ROUND(F12/C12/12,2)</f>
        <v>285.52</v>
      </c>
      <c r="J12" s="40">
        <f>ROUND(G12/C12/12,2)</f>
        <v>62.93</v>
      </c>
      <c r="K12" s="52"/>
      <c r="L12" s="52"/>
      <c r="M12" s="35">
        <f t="shared" si="6"/>
        <v>138035090.83333334</v>
      </c>
      <c r="N12" s="35">
        <f t="shared" si="7"/>
        <v>13803509.083333334</v>
      </c>
      <c r="O12" s="35">
        <f t="shared" si="8"/>
        <v>13803509.083333334</v>
      </c>
      <c r="P12" s="40">
        <f>H12</f>
        <v>348.45</v>
      </c>
      <c r="Q12" s="40">
        <f>P12</f>
        <v>348.45</v>
      </c>
      <c r="R12" s="15">
        <v>39296</v>
      </c>
      <c r="S12" s="15">
        <f>R12-C12</f>
        <v>-318</v>
      </c>
      <c r="T12" s="61"/>
      <c r="U12" s="67">
        <f>ROUND(P12*$T$14,2)</f>
        <v>352.9</v>
      </c>
      <c r="V12" s="61"/>
      <c r="W12" s="67">
        <f>ROUND(Q12*$V$14,2)</f>
        <v>352.9</v>
      </c>
      <c r="X12" s="76">
        <v>39421</v>
      </c>
      <c r="Y12" s="76">
        <f t="shared" si="0"/>
        <v>13736247.45</v>
      </c>
      <c r="Z12" s="67">
        <v>39307</v>
      </c>
      <c r="AA12" s="67">
        <f t="shared" si="1"/>
        <v>13696524.15</v>
      </c>
      <c r="AB12" s="52">
        <f t="shared" si="12"/>
        <v>13692691.2</v>
      </c>
      <c r="AC12" s="52">
        <f t="shared" si="9"/>
        <v>41125462.8</v>
      </c>
      <c r="AD12" s="52">
        <f t="shared" si="2"/>
        <v>41410527.25</v>
      </c>
      <c r="AE12" s="52">
        <f t="shared" si="10"/>
        <v>285064.450000003</v>
      </c>
      <c r="AF12" s="89">
        <f t="shared" si="11"/>
        <v>7.25</v>
      </c>
    </row>
    <row r="13" spans="1:32" ht="15">
      <c r="A13" s="5">
        <v>5</v>
      </c>
      <c r="B13" s="13" t="s">
        <v>18</v>
      </c>
      <c r="C13" s="15">
        <v>9648</v>
      </c>
      <c r="D13" s="52">
        <f t="shared" si="3"/>
        <v>40342112</v>
      </c>
      <c r="E13" s="52">
        <f t="shared" si="4"/>
        <v>3361842.6666666665</v>
      </c>
      <c r="F13" s="52">
        <v>33056148</v>
      </c>
      <c r="G13" s="52">
        <v>7285964</v>
      </c>
      <c r="H13" s="40">
        <f t="shared" si="5"/>
        <v>348.45</v>
      </c>
      <c r="I13" s="40">
        <f>ROUND(F13/C13/12,2)</f>
        <v>285.52</v>
      </c>
      <c r="J13" s="40">
        <f>ROUND(G13/C13/12,2)</f>
        <v>62.93</v>
      </c>
      <c r="K13" s="52"/>
      <c r="L13" s="52"/>
      <c r="M13" s="35">
        <f t="shared" si="6"/>
        <v>33618426.666666664</v>
      </c>
      <c r="N13" s="35">
        <f t="shared" si="7"/>
        <v>3361842.6666666665</v>
      </c>
      <c r="O13" s="35">
        <f t="shared" si="8"/>
        <v>3361842.6666666665</v>
      </c>
      <c r="P13" s="40">
        <f>H13</f>
        <v>348.45</v>
      </c>
      <c r="Q13" s="40">
        <f>P13</f>
        <v>348.45</v>
      </c>
      <c r="R13" s="15">
        <v>9063</v>
      </c>
      <c r="S13" s="15">
        <f>R13-C13</f>
        <v>-585</v>
      </c>
      <c r="T13" s="61"/>
      <c r="U13" s="67">
        <f>ROUND(P13*$T$14,2)</f>
        <v>352.9</v>
      </c>
      <c r="V13" s="61"/>
      <c r="W13" s="67">
        <f>ROUND(Q13*$V$14,2)</f>
        <v>352.9</v>
      </c>
      <c r="X13" s="76">
        <v>9053</v>
      </c>
      <c r="Y13" s="76">
        <f t="shared" si="0"/>
        <v>3154517.85</v>
      </c>
      <c r="Z13" s="67">
        <v>9040</v>
      </c>
      <c r="AA13" s="67">
        <f t="shared" si="1"/>
        <v>3149988</v>
      </c>
      <c r="AB13" s="52">
        <f t="shared" si="12"/>
        <v>3158002.35</v>
      </c>
      <c r="AC13" s="52">
        <f t="shared" si="9"/>
        <v>9462508.2</v>
      </c>
      <c r="AD13" s="52">
        <f t="shared" si="2"/>
        <v>10085528</v>
      </c>
      <c r="AE13" s="52">
        <f t="shared" si="10"/>
        <v>623019.8000000007</v>
      </c>
      <c r="AF13" s="89">
        <f t="shared" si="11"/>
        <v>68.74</v>
      </c>
    </row>
    <row r="14" spans="1:34" s="21" customFormat="1" ht="14.25">
      <c r="A14" s="17"/>
      <c r="B14" s="18" t="s">
        <v>44</v>
      </c>
      <c r="C14" s="20">
        <f>SUM(C11:C13)</f>
        <v>89445</v>
      </c>
      <c r="D14" s="52"/>
      <c r="E14" s="52">
        <f t="shared" si="4"/>
        <v>0</v>
      </c>
      <c r="F14" s="52"/>
      <c r="G14" s="52"/>
      <c r="H14" s="40"/>
      <c r="I14" s="40"/>
      <c r="J14" s="40"/>
      <c r="K14" s="52"/>
      <c r="L14" s="52"/>
      <c r="M14" s="35">
        <f t="shared" si="6"/>
        <v>0</v>
      </c>
      <c r="N14" s="35">
        <f t="shared" si="7"/>
        <v>0</v>
      </c>
      <c r="O14" s="35">
        <f t="shared" si="8"/>
        <v>0</v>
      </c>
      <c r="P14" s="40">
        <f>ROUND(N14/C14,2)</f>
        <v>0</v>
      </c>
      <c r="Q14" s="40"/>
      <c r="R14" s="20">
        <f>SUM(R11:R13)</f>
        <v>88317</v>
      </c>
      <c r="S14" s="20">
        <f>SUM(S11:S13)</f>
        <v>-1128</v>
      </c>
      <c r="T14" s="62">
        <f>ROUND(C14/R14,6)</f>
        <v>1.012772</v>
      </c>
      <c r="U14" s="68"/>
      <c r="V14" s="62">
        <f>T14</f>
        <v>1.012772</v>
      </c>
      <c r="W14" s="68"/>
      <c r="X14" s="80"/>
      <c r="Y14" s="76">
        <f t="shared" si="0"/>
        <v>0</v>
      </c>
      <c r="Z14" s="68"/>
      <c r="AA14" s="67">
        <f t="shared" si="1"/>
        <v>0</v>
      </c>
      <c r="AB14" s="52">
        <f t="shared" si="12"/>
        <v>0</v>
      </c>
      <c r="AC14" s="52">
        <f t="shared" si="9"/>
        <v>0</v>
      </c>
      <c r="AD14" s="52">
        <f t="shared" si="2"/>
        <v>0</v>
      </c>
      <c r="AE14" s="52">
        <f t="shared" si="10"/>
        <v>0</v>
      </c>
      <c r="AF14" s="89">
        <f t="shared" si="11"/>
        <v>0</v>
      </c>
      <c r="AG14" s="73"/>
      <c r="AH14" s="73"/>
    </row>
    <row r="15" spans="1:32" ht="15">
      <c r="A15" s="5">
        <v>6</v>
      </c>
      <c r="B15" s="13" t="s">
        <v>15</v>
      </c>
      <c r="C15" s="15">
        <v>93048</v>
      </c>
      <c r="D15" s="52">
        <f t="shared" si="3"/>
        <v>376872399</v>
      </c>
      <c r="E15" s="52">
        <f t="shared" si="4"/>
        <v>31406033.25</v>
      </c>
      <c r="F15" s="52">
        <v>319932752</v>
      </c>
      <c r="G15" s="52">
        <v>56939647</v>
      </c>
      <c r="H15" s="40">
        <f t="shared" si="5"/>
        <v>337.52</v>
      </c>
      <c r="I15" s="40">
        <f>ROUND(F15/C15/12,2)</f>
        <v>286.53</v>
      </c>
      <c r="J15" s="40">
        <f>ROUND(G15/C15/12,2)</f>
        <v>50.99</v>
      </c>
      <c r="K15" s="52"/>
      <c r="L15" s="52"/>
      <c r="M15" s="35">
        <f t="shared" si="6"/>
        <v>314060332.5</v>
      </c>
      <c r="N15" s="35">
        <f t="shared" si="7"/>
        <v>31406033.25</v>
      </c>
      <c r="O15" s="35">
        <f t="shared" si="8"/>
        <v>31406033.25</v>
      </c>
      <c r="P15" s="40">
        <f>H15</f>
        <v>337.52</v>
      </c>
      <c r="Q15" s="40">
        <f>P15</f>
        <v>337.52</v>
      </c>
      <c r="R15" s="15">
        <v>92651</v>
      </c>
      <c r="S15" s="15">
        <f>R15-C15</f>
        <v>-397</v>
      </c>
      <c r="T15" s="61"/>
      <c r="U15" s="67">
        <f>ROUND(P15*$T$18,2)</f>
        <v>338.66</v>
      </c>
      <c r="V15" s="61"/>
      <c r="W15" s="67">
        <f>ROUND(Q15*$V$18,2)</f>
        <v>338.66</v>
      </c>
      <c r="X15" s="76">
        <v>92710</v>
      </c>
      <c r="Y15" s="76">
        <f t="shared" si="0"/>
        <v>31291479.2</v>
      </c>
      <c r="Z15" s="67">
        <v>92599</v>
      </c>
      <c r="AA15" s="67">
        <f t="shared" si="1"/>
        <v>31254014.479999997</v>
      </c>
      <c r="AB15" s="52">
        <f t="shared" si="12"/>
        <v>31271565.52</v>
      </c>
      <c r="AC15" s="52">
        <f t="shared" si="9"/>
        <v>93817059.19999999</v>
      </c>
      <c r="AD15" s="52">
        <f t="shared" si="2"/>
        <v>94218099.75</v>
      </c>
      <c r="AE15" s="52">
        <f t="shared" si="10"/>
        <v>401040.5500000119</v>
      </c>
      <c r="AF15" s="89">
        <f t="shared" si="11"/>
        <v>4.33</v>
      </c>
    </row>
    <row r="16" spans="1:32" ht="30">
      <c r="A16" s="5">
        <v>7</v>
      </c>
      <c r="B16" s="13" t="s">
        <v>7</v>
      </c>
      <c r="C16" s="15">
        <v>28972</v>
      </c>
      <c r="D16" s="52">
        <f t="shared" si="3"/>
        <v>117345662</v>
      </c>
      <c r="E16" s="52">
        <f t="shared" si="4"/>
        <v>9778805.166666666</v>
      </c>
      <c r="F16" s="52">
        <v>99616666</v>
      </c>
      <c r="G16" s="52">
        <v>17728996</v>
      </c>
      <c r="H16" s="40">
        <f t="shared" si="5"/>
        <v>337.52</v>
      </c>
      <c r="I16" s="40">
        <f>ROUND(F16/C16/12,2)</f>
        <v>286.53</v>
      </c>
      <c r="J16" s="40">
        <f>ROUND(G16/C16/12,2)</f>
        <v>50.99</v>
      </c>
      <c r="K16" s="52"/>
      <c r="L16" s="52"/>
      <c r="M16" s="35">
        <f t="shared" si="6"/>
        <v>97788051.66666666</v>
      </c>
      <c r="N16" s="35">
        <f t="shared" si="7"/>
        <v>9778805.166666666</v>
      </c>
      <c r="O16" s="35">
        <f t="shared" si="8"/>
        <v>9778805.166666666</v>
      </c>
      <c r="P16" s="40">
        <f>H16</f>
        <v>337.52</v>
      </c>
      <c r="Q16" s="40">
        <f>P16</f>
        <v>337.52</v>
      </c>
      <c r="R16" s="15">
        <v>28884</v>
      </c>
      <c r="S16" s="15">
        <f>R16-C16</f>
        <v>-88</v>
      </c>
      <c r="T16" s="61"/>
      <c r="U16" s="67">
        <f>ROUND(P16*$T$18,2)</f>
        <v>338.66</v>
      </c>
      <c r="V16" s="61"/>
      <c r="W16" s="67">
        <f>ROUND(Q16*$V$18,2)</f>
        <v>338.66</v>
      </c>
      <c r="X16" s="76">
        <v>28995</v>
      </c>
      <c r="Y16" s="76">
        <f t="shared" si="0"/>
        <v>9786392.4</v>
      </c>
      <c r="Z16" s="67">
        <v>28877</v>
      </c>
      <c r="AA16" s="67">
        <f t="shared" si="1"/>
        <v>9746565.04</v>
      </c>
      <c r="AB16" s="52">
        <f t="shared" si="12"/>
        <v>9748927.68</v>
      </c>
      <c r="AC16" s="52">
        <f t="shared" si="9"/>
        <v>29281885.119999997</v>
      </c>
      <c r="AD16" s="52">
        <f t="shared" si="2"/>
        <v>29336415.5</v>
      </c>
      <c r="AE16" s="52">
        <f t="shared" si="10"/>
        <v>54530.38000000268</v>
      </c>
      <c r="AF16" s="89">
        <f t="shared" si="11"/>
        <v>1.89</v>
      </c>
    </row>
    <row r="17" spans="1:32" ht="30">
      <c r="A17" s="5">
        <v>8</v>
      </c>
      <c r="B17" s="13" t="s">
        <v>16</v>
      </c>
      <c r="C17" s="15">
        <v>27132</v>
      </c>
      <c r="D17" s="52">
        <f t="shared" si="3"/>
        <v>109892904</v>
      </c>
      <c r="E17" s="52">
        <f t="shared" si="4"/>
        <v>9157742</v>
      </c>
      <c r="F17" s="52">
        <v>93289847</v>
      </c>
      <c r="G17" s="52">
        <v>16603057</v>
      </c>
      <c r="H17" s="40">
        <f t="shared" si="5"/>
        <v>337.52</v>
      </c>
      <c r="I17" s="40">
        <f>ROUND(F17/C17/12,2)</f>
        <v>286.53</v>
      </c>
      <c r="J17" s="40">
        <f>ROUND(G17/C17/12,2)</f>
        <v>50.99</v>
      </c>
      <c r="K17" s="52"/>
      <c r="L17" s="52"/>
      <c r="M17" s="35">
        <f t="shared" si="6"/>
        <v>91577420</v>
      </c>
      <c r="N17" s="35">
        <f t="shared" si="7"/>
        <v>9157742</v>
      </c>
      <c r="O17" s="35">
        <f t="shared" si="8"/>
        <v>9157742</v>
      </c>
      <c r="P17" s="40">
        <f>H17</f>
        <v>337.52</v>
      </c>
      <c r="Q17" s="40">
        <f>P17</f>
        <v>337.52</v>
      </c>
      <c r="R17" s="15">
        <v>27115</v>
      </c>
      <c r="S17" s="15">
        <f>R17-C17</f>
        <v>-17</v>
      </c>
      <c r="T17" s="61"/>
      <c r="U17" s="67">
        <f>ROUND(P17*$T$18,2)</f>
        <v>338.66</v>
      </c>
      <c r="V17" s="61"/>
      <c r="W17" s="67">
        <f>ROUND(Q17*$V$18,2)</f>
        <v>338.66</v>
      </c>
      <c r="X17" s="76">
        <v>27184</v>
      </c>
      <c r="Y17" s="76">
        <f t="shared" si="0"/>
        <v>9175143.68</v>
      </c>
      <c r="Z17" s="67">
        <v>27094</v>
      </c>
      <c r="AA17" s="67">
        <f t="shared" si="1"/>
        <v>9144766.879999999</v>
      </c>
      <c r="AB17" s="52">
        <f t="shared" si="12"/>
        <v>9151854.799999999</v>
      </c>
      <c r="AC17" s="52">
        <f t="shared" si="9"/>
        <v>27471765.36</v>
      </c>
      <c r="AD17" s="52">
        <f t="shared" si="2"/>
        <v>27473226</v>
      </c>
      <c r="AE17" s="52">
        <f t="shared" si="10"/>
        <v>1460.640000000596</v>
      </c>
      <c r="AF17" s="89">
        <f t="shared" si="11"/>
        <v>0.05</v>
      </c>
    </row>
    <row r="18" spans="1:32" ht="14.25">
      <c r="A18" s="5"/>
      <c r="B18" s="18" t="s">
        <v>45</v>
      </c>
      <c r="C18" s="20">
        <f>SUM(C15:C17)</f>
        <v>149152</v>
      </c>
      <c r="D18" s="52"/>
      <c r="E18" s="52">
        <f t="shared" si="4"/>
        <v>0</v>
      </c>
      <c r="F18" s="52"/>
      <c r="G18" s="52"/>
      <c r="H18" s="40"/>
      <c r="I18" s="40"/>
      <c r="J18" s="40"/>
      <c r="K18" s="52"/>
      <c r="L18" s="52"/>
      <c r="M18" s="35">
        <f t="shared" si="6"/>
        <v>0</v>
      </c>
      <c r="N18" s="35">
        <f>M18/12</f>
        <v>0</v>
      </c>
      <c r="O18" s="35">
        <f t="shared" si="8"/>
        <v>0</v>
      </c>
      <c r="P18" s="40"/>
      <c r="Q18" s="40"/>
      <c r="R18" s="20">
        <f>SUM(R15:R17)</f>
        <v>148650</v>
      </c>
      <c r="S18" s="20">
        <f>SUM(S15:S17)</f>
        <v>-502</v>
      </c>
      <c r="T18" s="62">
        <f>ROUND(C18/R18,6)</f>
        <v>1.003377</v>
      </c>
      <c r="U18" s="67"/>
      <c r="V18" s="62">
        <f>T18</f>
        <v>1.003377</v>
      </c>
      <c r="W18" s="67"/>
      <c r="X18" s="76"/>
      <c r="Y18" s="76">
        <f t="shared" si="0"/>
        <v>0</v>
      </c>
      <c r="Z18" s="67"/>
      <c r="AA18" s="67">
        <f t="shared" si="1"/>
        <v>0</v>
      </c>
      <c r="AB18" s="52">
        <f t="shared" si="12"/>
        <v>0</v>
      </c>
      <c r="AC18" s="52">
        <f t="shared" si="9"/>
        <v>0</v>
      </c>
      <c r="AD18" s="52">
        <f t="shared" si="2"/>
        <v>0</v>
      </c>
      <c r="AE18" s="52">
        <f t="shared" si="10"/>
        <v>0</v>
      </c>
      <c r="AF18" s="89">
        <f t="shared" si="11"/>
        <v>0</v>
      </c>
    </row>
    <row r="19" spans="1:32" ht="30">
      <c r="A19" s="5">
        <f>A17+1</f>
        <v>9</v>
      </c>
      <c r="B19" s="36" t="s">
        <v>14</v>
      </c>
      <c r="C19" s="58">
        <v>78141</v>
      </c>
      <c r="D19" s="57">
        <f t="shared" si="3"/>
        <v>290143285</v>
      </c>
      <c r="E19" s="57">
        <f t="shared" si="4"/>
        <v>24178607.083333332</v>
      </c>
      <c r="F19" s="57">
        <v>237221521</v>
      </c>
      <c r="G19" s="57">
        <v>52921764</v>
      </c>
      <c r="H19" s="56">
        <f t="shared" si="5"/>
        <v>309.41999999999996</v>
      </c>
      <c r="I19" s="56">
        <f>ROUND(F19/C19/12,2)</f>
        <v>252.98</v>
      </c>
      <c r="J19" s="56">
        <f>ROUND(G19/C19/12,2)</f>
        <v>56.44</v>
      </c>
      <c r="K19" s="57"/>
      <c r="L19" s="57">
        <v>-10000000</v>
      </c>
      <c r="M19" s="55">
        <f>D19/12*10+K19+L19</f>
        <v>231786070.8333333</v>
      </c>
      <c r="N19" s="55">
        <f>D19/12</f>
        <v>24178607.083333332</v>
      </c>
      <c r="O19" s="55">
        <f>(M19-N19*2)/8</f>
        <v>22928607.083333332</v>
      </c>
      <c r="P19" s="56">
        <v>309.42</v>
      </c>
      <c r="Q19" s="56">
        <v>293.09</v>
      </c>
      <c r="R19" s="58">
        <v>79062</v>
      </c>
      <c r="S19" s="58">
        <f>R19-C19</f>
        <v>921</v>
      </c>
      <c r="T19" s="64">
        <v>0.971452</v>
      </c>
      <c r="U19" s="69">
        <f>ROUND(P19*$T$22,2)</f>
        <v>300.59</v>
      </c>
      <c r="V19" s="63">
        <f>ROUND((C19+C23)/(R19+R23),6)</f>
        <v>0.967193</v>
      </c>
      <c r="W19" s="70">
        <f>ROUND(Q19*$V$19,2)</f>
        <v>283.47</v>
      </c>
      <c r="X19" s="81">
        <v>79106</v>
      </c>
      <c r="Y19" s="76">
        <f t="shared" si="0"/>
        <v>24476978.519999996</v>
      </c>
      <c r="Z19" s="70">
        <v>79022</v>
      </c>
      <c r="AA19" s="67">
        <f t="shared" si="1"/>
        <v>24450987.24</v>
      </c>
      <c r="AB19" s="52">
        <f t="shared" si="12"/>
        <v>24463364.040000003</v>
      </c>
      <c r="AC19" s="52">
        <f t="shared" si="9"/>
        <v>73391329.8</v>
      </c>
      <c r="AD19" s="52">
        <f t="shared" si="2"/>
        <v>72535821.25</v>
      </c>
      <c r="AE19" s="52">
        <f t="shared" si="10"/>
        <v>-855508.549999997</v>
      </c>
      <c r="AF19" s="89">
        <f t="shared" si="11"/>
        <v>-10.82</v>
      </c>
    </row>
    <row r="20" spans="1:32" ht="30">
      <c r="A20" s="5">
        <v>10</v>
      </c>
      <c r="B20" s="13" t="s">
        <v>10</v>
      </c>
      <c r="C20" s="15">
        <v>48546</v>
      </c>
      <c r="D20" s="52">
        <f t="shared" si="3"/>
        <v>180254017</v>
      </c>
      <c r="E20" s="52">
        <f t="shared" si="4"/>
        <v>15021168.083333334</v>
      </c>
      <c r="F20" s="52">
        <v>147376473</v>
      </c>
      <c r="G20" s="52">
        <v>32877544</v>
      </c>
      <c r="H20" s="40">
        <f t="shared" si="5"/>
        <v>309.41999999999996</v>
      </c>
      <c r="I20" s="40">
        <f>ROUND(F20/C20/12,2)</f>
        <v>252.98</v>
      </c>
      <c r="J20" s="40">
        <f>ROUND(G20/C20/12,2)</f>
        <v>56.44</v>
      </c>
      <c r="K20" s="52"/>
      <c r="L20" s="52"/>
      <c r="M20" s="35">
        <f t="shared" si="6"/>
        <v>150211680.83333334</v>
      </c>
      <c r="N20" s="35">
        <f>M20/10</f>
        <v>15021168.083333334</v>
      </c>
      <c r="O20" s="35">
        <f>N20</f>
        <v>15021168.083333334</v>
      </c>
      <c r="P20" s="40">
        <f>H20</f>
        <v>309.41999999999996</v>
      </c>
      <c r="Q20" s="40">
        <f>P20</f>
        <v>309.41999999999996</v>
      </c>
      <c r="R20" s="15">
        <v>48557</v>
      </c>
      <c r="S20" s="15">
        <f>R20-C20</f>
        <v>11</v>
      </c>
      <c r="T20" s="64">
        <v>0.971452</v>
      </c>
      <c r="U20" s="69">
        <f>ROUND(P20*$T$22,2)</f>
        <v>300.59</v>
      </c>
      <c r="V20" s="64">
        <v>0.96401</v>
      </c>
      <c r="W20" s="69">
        <f>ROUND(Q20*$V$20,2)</f>
        <v>298.28</v>
      </c>
      <c r="X20" s="82">
        <v>48572</v>
      </c>
      <c r="Y20" s="76">
        <f t="shared" si="0"/>
        <v>15029148.239999998</v>
      </c>
      <c r="Z20" s="69">
        <v>48516</v>
      </c>
      <c r="AA20" s="67">
        <f t="shared" si="1"/>
        <v>15011820.719999999</v>
      </c>
      <c r="AB20" s="52">
        <f t="shared" si="12"/>
        <v>15024506.939999998</v>
      </c>
      <c r="AC20" s="52">
        <f t="shared" si="9"/>
        <v>45065475.89999999</v>
      </c>
      <c r="AD20" s="52">
        <f t="shared" si="2"/>
        <v>45063504.25</v>
      </c>
      <c r="AE20" s="52">
        <f t="shared" si="10"/>
        <v>-1971.6499999910593</v>
      </c>
      <c r="AF20" s="89">
        <f t="shared" si="11"/>
        <v>-0.04</v>
      </c>
    </row>
    <row r="21" spans="1:32" ht="15">
      <c r="A21" s="5">
        <v>11</v>
      </c>
      <c r="B21" s="13" t="s">
        <v>22</v>
      </c>
      <c r="C21" s="15">
        <v>67765</v>
      </c>
      <c r="D21" s="52">
        <f t="shared" si="3"/>
        <v>251615699</v>
      </c>
      <c r="E21" s="52">
        <f t="shared" si="4"/>
        <v>20967974.916666668</v>
      </c>
      <c r="F21" s="52">
        <v>205722172</v>
      </c>
      <c r="G21" s="52">
        <v>45893527</v>
      </c>
      <c r="H21" s="40">
        <f t="shared" si="5"/>
        <v>309.41999999999996</v>
      </c>
      <c r="I21" s="40">
        <f>ROUND(F21/C21/12,2)</f>
        <v>252.98</v>
      </c>
      <c r="J21" s="40">
        <f>ROUND(G21/C21/12,2)</f>
        <v>56.44</v>
      </c>
      <c r="K21" s="52"/>
      <c r="L21" s="52"/>
      <c r="M21" s="35">
        <f t="shared" si="6"/>
        <v>209679749.1666667</v>
      </c>
      <c r="N21" s="35">
        <f>M21/10</f>
        <v>20967974.916666668</v>
      </c>
      <c r="O21" s="35">
        <f aca="true" t="shared" si="13" ref="O21:O41">N21</f>
        <v>20967974.916666668</v>
      </c>
      <c r="P21" s="40">
        <f>H21</f>
        <v>309.41999999999996</v>
      </c>
      <c r="Q21" s="40">
        <f>P21</f>
        <v>309.41999999999996</v>
      </c>
      <c r="R21" s="15">
        <v>75285</v>
      </c>
      <c r="S21" s="15">
        <f>R21-C21</f>
        <v>7520</v>
      </c>
      <c r="T21" s="64">
        <v>0.971452</v>
      </c>
      <c r="U21" s="69">
        <f>ROUND(P21*$T$22,2)</f>
        <v>300.59</v>
      </c>
      <c r="V21" s="64">
        <v>0.96401</v>
      </c>
      <c r="W21" s="69">
        <f>ROUND(Q21*$V$21,2)</f>
        <v>298.28</v>
      </c>
      <c r="X21" s="82">
        <v>74094</v>
      </c>
      <c r="Y21" s="76">
        <f t="shared" si="0"/>
        <v>22926165.479999997</v>
      </c>
      <c r="Z21" s="69">
        <v>74599</v>
      </c>
      <c r="AA21" s="67">
        <f t="shared" si="1"/>
        <v>23082422.58</v>
      </c>
      <c r="AB21" s="52">
        <f t="shared" si="12"/>
        <v>23294684.699999996</v>
      </c>
      <c r="AC21" s="52">
        <f t="shared" si="9"/>
        <v>69303272.75999999</v>
      </c>
      <c r="AD21" s="52">
        <f t="shared" si="2"/>
        <v>62903924.75</v>
      </c>
      <c r="AE21" s="52">
        <f t="shared" si="10"/>
        <v>-6399348.00999999</v>
      </c>
      <c r="AF21" s="89">
        <f t="shared" si="11"/>
        <v>-85</v>
      </c>
    </row>
    <row r="22" spans="1:32" ht="14.25">
      <c r="A22" s="5"/>
      <c r="B22" s="18" t="s">
        <v>46</v>
      </c>
      <c r="C22" s="20">
        <f>SUM(C19:C21)</f>
        <v>194452</v>
      </c>
      <c r="D22" s="52"/>
      <c r="E22" s="52">
        <f t="shared" si="4"/>
        <v>0</v>
      </c>
      <c r="F22" s="52"/>
      <c r="G22" s="52"/>
      <c r="H22" s="40"/>
      <c r="I22" s="40"/>
      <c r="J22" s="40"/>
      <c r="K22" s="52"/>
      <c r="L22" s="52"/>
      <c r="M22" s="35">
        <f t="shared" si="6"/>
        <v>0</v>
      </c>
      <c r="N22" s="35">
        <f>M22/12</f>
        <v>0</v>
      </c>
      <c r="O22" s="35">
        <f t="shared" si="13"/>
        <v>0</v>
      </c>
      <c r="P22" s="40"/>
      <c r="Q22" s="40"/>
      <c r="R22" s="20">
        <f>SUM(R19:R21)</f>
        <v>202904</v>
      </c>
      <c r="S22" s="20">
        <f>SUM(S19:S21)</f>
        <v>8452</v>
      </c>
      <c r="T22" s="62">
        <f>ROUND((C19+C20+C21+C24)/(R19+R20+R21+R24),6)</f>
        <v>0.971452</v>
      </c>
      <c r="U22" s="67"/>
      <c r="V22" s="62"/>
      <c r="W22" s="67"/>
      <c r="X22" s="76"/>
      <c r="Y22" s="76">
        <f t="shared" si="0"/>
        <v>0</v>
      </c>
      <c r="Z22" s="67"/>
      <c r="AA22" s="67">
        <f t="shared" si="1"/>
        <v>0</v>
      </c>
      <c r="AB22" s="52">
        <f t="shared" si="12"/>
        <v>0</v>
      </c>
      <c r="AC22" s="52">
        <f t="shared" si="9"/>
        <v>0</v>
      </c>
      <c r="AD22" s="52">
        <f t="shared" si="2"/>
        <v>0</v>
      </c>
      <c r="AE22" s="52">
        <f t="shared" si="10"/>
        <v>0</v>
      </c>
      <c r="AF22" s="89">
        <f t="shared" si="11"/>
        <v>0</v>
      </c>
    </row>
    <row r="23" spans="1:32" ht="30">
      <c r="A23" s="5">
        <v>12</v>
      </c>
      <c r="B23" s="13" t="s">
        <v>2</v>
      </c>
      <c r="C23" s="15">
        <v>148656</v>
      </c>
      <c r="D23" s="52">
        <f t="shared" si="3"/>
        <v>522822878</v>
      </c>
      <c r="E23" s="52">
        <f t="shared" si="4"/>
        <v>43568573.166666664</v>
      </c>
      <c r="F23" s="52">
        <v>433887230</v>
      </c>
      <c r="G23" s="52">
        <v>88935648</v>
      </c>
      <c r="H23" s="40">
        <f t="shared" si="5"/>
        <v>293.09</v>
      </c>
      <c r="I23" s="40">
        <f>ROUND(F23/C23/12,2)</f>
        <v>243.23</v>
      </c>
      <c r="J23" s="40">
        <f>ROUND(G23/C23/12,2)</f>
        <v>49.86</v>
      </c>
      <c r="K23" s="52"/>
      <c r="L23" s="52"/>
      <c r="M23" s="35">
        <f t="shared" si="6"/>
        <v>435685731.6666666</v>
      </c>
      <c r="N23" s="35">
        <f>M23/10</f>
        <v>43568573.166666664</v>
      </c>
      <c r="O23" s="35">
        <f t="shared" si="13"/>
        <v>43568573.166666664</v>
      </c>
      <c r="P23" s="40">
        <f>H23</f>
        <v>293.09</v>
      </c>
      <c r="Q23" s="40">
        <f>P23</f>
        <v>293.09</v>
      </c>
      <c r="R23" s="15">
        <v>155428</v>
      </c>
      <c r="S23" s="15">
        <f>R23-C23</f>
        <v>6772</v>
      </c>
      <c r="T23" s="63">
        <f>ROUND(C23/R23,6)</f>
        <v>0.95643</v>
      </c>
      <c r="U23" s="70">
        <f>ROUND(P23*$T$23,2)</f>
        <v>280.32</v>
      </c>
      <c r="V23" s="63">
        <v>0.967193</v>
      </c>
      <c r="W23" s="70">
        <f>ROUND(Q23*$V$23,2)</f>
        <v>283.47</v>
      </c>
      <c r="X23" s="81">
        <v>154769</v>
      </c>
      <c r="Y23" s="76">
        <f t="shared" si="0"/>
        <v>45361246.20999999</v>
      </c>
      <c r="Z23" s="70">
        <v>155039</v>
      </c>
      <c r="AA23" s="67">
        <f t="shared" si="1"/>
        <v>45440380.51</v>
      </c>
      <c r="AB23" s="52">
        <f t="shared" si="12"/>
        <v>45554392.519999996</v>
      </c>
      <c r="AC23" s="52">
        <f t="shared" si="9"/>
        <v>136356019.24</v>
      </c>
      <c r="AD23" s="52">
        <f t="shared" si="2"/>
        <v>130705719.5</v>
      </c>
      <c r="AE23" s="52">
        <f t="shared" si="10"/>
        <v>-5650299.74000001</v>
      </c>
      <c r="AF23" s="89">
        <f t="shared" si="11"/>
        <v>-36.35</v>
      </c>
    </row>
    <row r="24" spans="1:32" ht="30">
      <c r="A24" s="5">
        <v>13</v>
      </c>
      <c r="B24" s="36" t="s">
        <v>17</v>
      </c>
      <c r="C24" s="58">
        <v>56752</v>
      </c>
      <c r="D24" s="57">
        <f t="shared" si="3"/>
        <v>199599732</v>
      </c>
      <c r="E24" s="57">
        <f t="shared" si="4"/>
        <v>16633311</v>
      </c>
      <c r="F24" s="57">
        <v>165644561</v>
      </c>
      <c r="G24" s="57">
        <v>33955171</v>
      </c>
      <c r="H24" s="56">
        <f t="shared" si="5"/>
        <v>293.09</v>
      </c>
      <c r="I24" s="56">
        <f>ROUND(F24/C24/12,2)</f>
        <v>243.23</v>
      </c>
      <c r="J24" s="56">
        <f>ROUND(G24/C24/12,2)</f>
        <v>49.86</v>
      </c>
      <c r="K24" s="57">
        <v>10000000</v>
      </c>
      <c r="L24" s="57"/>
      <c r="M24" s="55">
        <f>D24/12*10+K24+L24</f>
        <v>176333110</v>
      </c>
      <c r="N24" s="55">
        <f>M24/10</f>
        <v>17633311</v>
      </c>
      <c r="O24" s="55">
        <f>N24</f>
        <v>17633311</v>
      </c>
      <c r="P24" s="56">
        <v>309.42</v>
      </c>
      <c r="Q24" s="56">
        <v>309.42</v>
      </c>
      <c r="R24" s="58">
        <v>55682</v>
      </c>
      <c r="S24" s="58">
        <f>R24-C24</f>
        <v>-1070</v>
      </c>
      <c r="T24" s="64">
        <v>0.971452</v>
      </c>
      <c r="U24" s="69">
        <f>ROUND(P24*$T$24,2)</f>
        <v>300.59</v>
      </c>
      <c r="V24" s="64">
        <f>ROUND((C24+C21+C20)/(R20+R21+R24),6)</f>
        <v>0.96401</v>
      </c>
      <c r="W24" s="69">
        <f>ROUND(Q24*$V$24,2)</f>
        <v>298.28</v>
      </c>
      <c r="X24" s="82">
        <v>55686</v>
      </c>
      <c r="Y24" s="76">
        <f t="shared" si="0"/>
        <v>16321009.739999998</v>
      </c>
      <c r="Z24" s="69">
        <v>55634</v>
      </c>
      <c r="AA24" s="67">
        <f t="shared" si="1"/>
        <v>16305769.059999999</v>
      </c>
      <c r="AB24" s="52">
        <f t="shared" si="12"/>
        <v>17229124.44</v>
      </c>
      <c r="AC24" s="52">
        <f t="shared" si="9"/>
        <v>49855903.239999995</v>
      </c>
      <c r="AD24" s="52">
        <f t="shared" si="2"/>
        <v>50899933</v>
      </c>
      <c r="AE24" s="52">
        <f t="shared" si="10"/>
        <v>1044029.7600000054</v>
      </c>
      <c r="AF24" s="89">
        <f t="shared" si="11"/>
        <v>18.75</v>
      </c>
    </row>
    <row r="25" spans="1:32" ht="14.25">
      <c r="A25" s="5"/>
      <c r="B25" s="18" t="s">
        <v>47</v>
      </c>
      <c r="C25" s="20">
        <f>SUM(C23:C24)</f>
        <v>205408</v>
      </c>
      <c r="D25" s="52"/>
      <c r="E25" s="52">
        <f t="shared" si="4"/>
        <v>0</v>
      </c>
      <c r="F25" s="52"/>
      <c r="G25" s="52"/>
      <c r="H25" s="40"/>
      <c r="I25" s="40"/>
      <c r="J25" s="40"/>
      <c r="K25" s="52"/>
      <c r="L25" s="52"/>
      <c r="M25" s="35">
        <f t="shared" si="6"/>
        <v>0</v>
      </c>
      <c r="N25" s="35">
        <f>M25/12</f>
        <v>0</v>
      </c>
      <c r="O25" s="35">
        <f t="shared" si="13"/>
        <v>0</v>
      </c>
      <c r="P25" s="40"/>
      <c r="Q25" s="40"/>
      <c r="R25" s="20">
        <f>SUM(R23:R24)</f>
        <v>211110</v>
      </c>
      <c r="S25" s="20">
        <f>SUM(S23:S24)</f>
        <v>5702</v>
      </c>
      <c r="T25" s="62"/>
      <c r="U25" s="67"/>
      <c r="V25" s="62"/>
      <c r="W25" s="67"/>
      <c r="X25" s="76"/>
      <c r="Y25" s="76">
        <f t="shared" si="0"/>
        <v>0</v>
      </c>
      <c r="Z25" s="67"/>
      <c r="AA25" s="67">
        <f t="shared" si="1"/>
        <v>0</v>
      </c>
      <c r="AB25" s="52">
        <f t="shared" si="12"/>
        <v>0</v>
      </c>
      <c r="AC25" s="52">
        <f t="shared" si="9"/>
        <v>0</v>
      </c>
      <c r="AD25" s="52">
        <f t="shared" si="2"/>
        <v>0</v>
      </c>
      <c r="AE25" s="52">
        <f t="shared" si="10"/>
        <v>0</v>
      </c>
      <c r="AF25" s="89">
        <f t="shared" si="11"/>
        <v>0</v>
      </c>
    </row>
    <row r="26" spans="1:32" ht="15">
      <c r="A26" s="5">
        <f>A24+1</f>
        <v>14</v>
      </c>
      <c r="B26" s="13" t="s">
        <v>12</v>
      </c>
      <c r="C26" s="15">
        <v>74688</v>
      </c>
      <c r="D26" s="52">
        <f t="shared" si="3"/>
        <v>245919547</v>
      </c>
      <c r="E26" s="52">
        <f t="shared" si="4"/>
        <v>20493295.583333332</v>
      </c>
      <c r="F26" s="52">
        <v>199293352</v>
      </c>
      <c r="G26" s="52">
        <v>46626195</v>
      </c>
      <c r="H26" s="40">
        <f t="shared" si="5"/>
        <v>274.38</v>
      </c>
      <c r="I26" s="40">
        <f>ROUND(F26/C26/12,2)</f>
        <v>222.36</v>
      </c>
      <c r="J26" s="40">
        <f>ROUND(G26/C26/12,2)</f>
        <v>52.02</v>
      </c>
      <c r="K26" s="52"/>
      <c r="L26" s="52"/>
      <c r="M26" s="35">
        <f t="shared" si="6"/>
        <v>204932955.8333333</v>
      </c>
      <c r="N26" s="35">
        <f>M26/10</f>
        <v>20493295.583333332</v>
      </c>
      <c r="O26" s="35">
        <f t="shared" si="13"/>
        <v>20493295.583333332</v>
      </c>
      <c r="P26" s="40">
        <f>H26</f>
        <v>274.38</v>
      </c>
      <c r="Q26" s="40">
        <f aca="true" t="shared" si="14" ref="Q26:Q40">P26</f>
        <v>274.38</v>
      </c>
      <c r="R26" s="15">
        <v>72916</v>
      </c>
      <c r="S26" s="15">
        <f>R26-C26</f>
        <v>-1772</v>
      </c>
      <c r="T26" s="61"/>
      <c r="U26" s="67">
        <f>ROUND(P26*$T$28,2)</f>
        <v>276.92</v>
      </c>
      <c r="V26" s="61"/>
      <c r="W26" s="67">
        <f>ROUND(Q26*$V$28,2)</f>
        <v>276.92</v>
      </c>
      <c r="X26" s="76">
        <v>73394</v>
      </c>
      <c r="Y26" s="76">
        <f t="shared" si="0"/>
        <v>20137845.72</v>
      </c>
      <c r="Z26" s="67">
        <v>73039</v>
      </c>
      <c r="AA26" s="67">
        <f t="shared" si="1"/>
        <v>20040440.82</v>
      </c>
      <c r="AB26" s="52">
        <f t="shared" si="12"/>
        <v>20006692.08</v>
      </c>
      <c r="AC26" s="52">
        <f t="shared" si="9"/>
        <v>60184978.62</v>
      </c>
      <c r="AD26" s="52">
        <f t="shared" si="2"/>
        <v>61479886.75</v>
      </c>
      <c r="AE26" s="52">
        <f t="shared" si="10"/>
        <v>1294908.1300000027</v>
      </c>
      <c r="AF26" s="89">
        <f t="shared" si="11"/>
        <v>17.76</v>
      </c>
    </row>
    <row r="27" spans="1:32" ht="30">
      <c r="A27" s="5">
        <f>A26+1</f>
        <v>15</v>
      </c>
      <c r="B27" s="13" t="s">
        <v>4</v>
      </c>
      <c r="C27" s="15">
        <v>106336</v>
      </c>
      <c r="D27" s="52">
        <f t="shared" si="3"/>
        <v>350123709</v>
      </c>
      <c r="E27" s="52">
        <f t="shared" si="4"/>
        <v>29176975.75</v>
      </c>
      <c r="F27" s="52">
        <v>283740531</v>
      </c>
      <c r="G27" s="52">
        <v>66383178</v>
      </c>
      <c r="H27" s="40">
        <f t="shared" si="5"/>
        <v>274.38</v>
      </c>
      <c r="I27" s="40">
        <f>ROUND(F27/C27/12,2)</f>
        <v>222.36</v>
      </c>
      <c r="J27" s="40">
        <f>ROUND(G27/C27/12,2)</f>
        <v>52.02</v>
      </c>
      <c r="K27" s="52"/>
      <c r="L27" s="52"/>
      <c r="M27" s="35">
        <f t="shared" si="6"/>
        <v>291769757.5</v>
      </c>
      <c r="N27" s="35">
        <f aca="true" t="shared" si="15" ref="N27:N40">M27/10</f>
        <v>29176975.75</v>
      </c>
      <c r="O27" s="35">
        <f t="shared" si="13"/>
        <v>29176975.75</v>
      </c>
      <c r="P27" s="40">
        <f>H27</f>
        <v>274.38</v>
      </c>
      <c r="Q27" s="40">
        <f t="shared" si="14"/>
        <v>274.38</v>
      </c>
      <c r="R27" s="15">
        <v>106448</v>
      </c>
      <c r="S27" s="15">
        <f>R27-C27</f>
        <v>112</v>
      </c>
      <c r="T27" s="61"/>
      <c r="U27" s="67">
        <f>ROUND(P27*$T$28,2)</f>
        <v>276.92</v>
      </c>
      <c r="V27" s="61"/>
      <c r="W27" s="67">
        <f>ROUND(Q27*$V$28,2)</f>
        <v>276.92</v>
      </c>
      <c r="X27" s="76">
        <v>106511</v>
      </c>
      <c r="Y27" s="76">
        <f t="shared" si="0"/>
        <v>29224488.18</v>
      </c>
      <c r="Z27" s="67">
        <v>106434</v>
      </c>
      <c r="AA27" s="67">
        <f t="shared" si="1"/>
        <v>29203360.919999998</v>
      </c>
      <c r="AB27" s="52">
        <f t="shared" si="12"/>
        <v>29207202.24</v>
      </c>
      <c r="AC27" s="52">
        <f t="shared" si="9"/>
        <v>87635051.33999999</v>
      </c>
      <c r="AD27" s="52">
        <f t="shared" si="2"/>
        <v>87530927.25</v>
      </c>
      <c r="AE27" s="52">
        <f t="shared" si="10"/>
        <v>-104124.08999998868</v>
      </c>
      <c r="AF27" s="89">
        <f t="shared" si="11"/>
        <v>-0.98</v>
      </c>
    </row>
    <row r="28" spans="1:32" ht="14.25">
      <c r="A28" s="5"/>
      <c r="B28" s="18" t="s">
        <v>48</v>
      </c>
      <c r="C28" s="20">
        <f>SUM(C26:C27)</f>
        <v>181024</v>
      </c>
      <c r="D28" s="52"/>
      <c r="E28" s="52">
        <f t="shared" si="4"/>
        <v>0</v>
      </c>
      <c r="F28" s="52"/>
      <c r="G28" s="52"/>
      <c r="H28" s="40"/>
      <c r="I28" s="40"/>
      <c r="J28" s="40"/>
      <c r="K28" s="52"/>
      <c r="L28" s="52"/>
      <c r="M28" s="35">
        <f t="shared" si="6"/>
        <v>0</v>
      </c>
      <c r="N28" s="35">
        <f t="shared" si="15"/>
        <v>0</v>
      </c>
      <c r="O28" s="35">
        <f t="shared" si="13"/>
        <v>0</v>
      </c>
      <c r="P28" s="40"/>
      <c r="Q28" s="40">
        <f t="shared" si="14"/>
        <v>0</v>
      </c>
      <c r="R28" s="20">
        <f>SUM(R26:R27)</f>
        <v>179364</v>
      </c>
      <c r="S28" s="20">
        <f>SUM(S26:S27)</f>
        <v>-1660</v>
      </c>
      <c r="T28" s="62">
        <f>ROUND(C28/R28,6)</f>
        <v>1.009255</v>
      </c>
      <c r="U28" s="67"/>
      <c r="V28" s="62">
        <f>T28</f>
        <v>1.009255</v>
      </c>
      <c r="W28" s="67"/>
      <c r="X28" s="76"/>
      <c r="Y28" s="76">
        <f t="shared" si="0"/>
        <v>0</v>
      </c>
      <c r="Z28" s="67"/>
      <c r="AA28" s="67">
        <f t="shared" si="1"/>
        <v>0</v>
      </c>
      <c r="AB28" s="52">
        <f t="shared" si="12"/>
        <v>0</v>
      </c>
      <c r="AC28" s="52">
        <f t="shared" si="9"/>
        <v>0</v>
      </c>
      <c r="AD28" s="52">
        <f t="shared" si="2"/>
        <v>0</v>
      </c>
      <c r="AE28" s="52">
        <f t="shared" si="10"/>
        <v>0</v>
      </c>
      <c r="AF28" s="89">
        <f t="shared" si="11"/>
        <v>0</v>
      </c>
    </row>
    <row r="29" spans="1:32" ht="15">
      <c r="A29" s="5">
        <v>16</v>
      </c>
      <c r="B29" s="13" t="s">
        <v>21</v>
      </c>
      <c r="C29" s="15">
        <v>35628</v>
      </c>
      <c r="D29" s="52">
        <f t="shared" si="3"/>
        <v>114170928</v>
      </c>
      <c r="E29" s="52">
        <f t="shared" si="4"/>
        <v>9514244</v>
      </c>
      <c r="F29" s="52">
        <v>95140829</v>
      </c>
      <c r="G29" s="52">
        <v>19030099</v>
      </c>
      <c r="H29" s="40">
        <f t="shared" si="5"/>
        <v>267.04</v>
      </c>
      <c r="I29" s="40">
        <f>ROUND(F29/C29/12,2)</f>
        <v>222.53</v>
      </c>
      <c r="J29" s="40">
        <f>ROUND(G29/C29/12,2)</f>
        <v>44.51</v>
      </c>
      <c r="K29" s="52"/>
      <c r="L29" s="52"/>
      <c r="M29" s="35">
        <f t="shared" si="6"/>
        <v>95142440</v>
      </c>
      <c r="N29" s="35">
        <f t="shared" si="15"/>
        <v>9514244</v>
      </c>
      <c r="O29" s="35">
        <f t="shared" si="13"/>
        <v>9514244</v>
      </c>
      <c r="P29" s="40">
        <f>H29</f>
        <v>267.04</v>
      </c>
      <c r="Q29" s="40">
        <f t="shared" si="14"/>
        <v>267.04</v>
      </c>
      <c r="R29" s="15">
        <v>34520</v>
      </c>
      <c r="S29" s="15">
        <f>R29-C29</f>
        <v>-1108</v>
      </c>
      <c r="T29" s="61"/>
      <c r="U29" s="67">
        <f>ROUND(P29*$T$31,2)</f>
        <v>276.5</v>
      </c>
      <c r="V29" s="61"/>
      <c r="W29" s="67">
        <f>ROUND(Q29*$V$31,2)</f>
        <v>276.5</v>
      </c>
      <c r="X29" s="76">
        <v>34450</v>
      </c>
      <c r="Y29" s="76">
        <f t="shared" si="0"/>
        <v>9199528</v>
      </c>
      <c r="Z29" s="67">
        <v>34443</v>
      </c>
      <c r="AA29" s="67">
        <f t="shared" si="1"/>
        <v>9197658.72</v>
      </c>
      <c r="AB29" s="52">
        <f t="shared" si="12"/>
        <v>9218220.8</v>
      </c>
      <c r="AC29" s="52">
        <f t="shared" si="9"/>
        <v>27615407.52</v>
      </c>
      <c r="AD29" s="52">
        <f t="shared" si="2"/>
        <v>28542732</v>
      </c>
      <c r="AE29" s="52">
        <f t="shared" si="10"/>
        <v>927324.4800000004</v>
      </c>
      <c r="AF29" s="89">
        <f t="shared" si="11"/>
        <v>26.86</v>
      </c>
    </row>
    <row r="30" spans="1:32" ht="15">
      <c r="A30" s="5">
        <v>17</v>
      </c>
      <c r="B30" s="13" t="s">
        <v>1</v>
      </c>
      <c r="C30" s="15">
        <v>10171</v>
      </c>
      <c r="D30" s="52">
        <f t="shared" si="3"/>
        <v>32593037</v>
      </c>
      <c r="E30" s="52">
        <f t="shared" si="4"/>
        <v>2716086.4166666665</v>
      </c>
      <c r="F30" s="52">
        <v>27160680</v>
      </c>
      <c r="G30" s="52">
        <v>5432357</v>
      </c>
      <c r="H30" s="40">
        <f t="shared" si="5"/>
        <v>267.04</v>
      </c>
      <c r="I30" s="40">
        <f>ROUND(F30/C30/12,2)</f>
        <v>222.53</v>
      </c>
      <c r="J30" s="40">
        <f>ROUND(G30/C30/12,2)</f>
        <v>44.51</v>
      </c>
      <c r="K30" s="52"/>
      <c r="L30" s="52"/>
      <c r="M30" s="35">
        <f t="shared" si="6"/>
        <v>27160864.166666664</v>
      </c>
      <c r="N30" s="35">
        <f t="shared" si="15"/>
        <v>2716086.4166666665</v>
      </c>
      <c r="O30" s="35">
        <f t="shared" si="13"/>
        <v>2716086.4166666665</v>
      </c>
      <c r="P30" s="40">
        <f>H30</f>
        <v>267.04</v>
      </c>
      <c r="Q30" s="40">
        <f t="shared" si="14"/>
        <v>267.04</v>
      </c>
      <c r="R30" s="15">
        <v>9712</v>
      </c>
      <c r="S30" s="15">
        <f>R30-C30</f>
        <v>-459</v>
      </c>
      <c r="T30" s="61"/>
      <c r="U30" s="67">
        <f>ROUND(P30*$T$31,2)</f>
        <v>276.5</v>
      </c>
      <c r="V30" s="61"/>
      <c r="W30" s="67">
        <f>ROUND(Q30*$V$31,2)</f>
        <v>276.5</v>
      </c>
      <c r="X30" s="76">
        <v>9385</v>
      </c>
      <c r="Y30" s="76">
        <f t="shared" si="0"/>
        <v>2506170.4000000004</v>
      </c>
      <c r="Z30" s="67">
        <v>9497</v>
      </c>
      <c r="AA30" s="67">
        <f t="shared" si="1"/>
        <v>2536078.8800000004</v>
      </c>
      <c r="AB30" s="52">
        <f t="shared" si="12"/>
        <v>2593492.48</v>
      </c>
      <c r="AC30" s="52">
        <f t="shared" si="9"/>
        <v>7635741.760000002</v>
      </c>
      <c r="AD30" s="52">
        <f t="shared" si="2"/>
        <v>8148259.25</v>
      </c>
      <c r="AE30" s="52">
        <f t="shared" si="10"/>
        <v>512517.48999999836</v>
      </c>
      <c r="AF30" s="89">
        <f t="shared" si="11"/>
        <v>52.77</v>
      </c>
    </row>
    <row r="31" spans="1:32" ht="14.25">
      <c r="A31" s="5"/>
      <c r="B31" s="18" t="s">
        <v>49</v>
      </c>
      <c r="C31" s="20">
        <f>SUM(C29:C30)</f>
        <v>45799</v>
      </c>
      <c r="D31" s="52"/>
      <c r="E31" s="52">
        <f t="shared" si="4"/>
        <v>0</v>
      </c>
      <c r="F31" s="52"/>
      <c r="G31" s="52"/>
      <c r="H31" s="40"/>
      <c r="I31" s="40"/>
      <c r="J31" s="40"/>
      <c r="K31" s="52"/>
      <c r="L31" s="52"/>
      <c r="M31" s="35">
        <f t="shared" si="6"/>
        <v>0</v>
      </c>
      <c r="N31" s="35">
        <f t="shared" si="15"/>
        <v>0</v>
      </c>
      <c r="O31" s="35">
        <f>N31</f>
        <v>0</v>
      </c>
      <c r="P31" s="40"/>
      <c r="Q31" s="40">
        <f t="shared" si="14"/>
        <v>0</v>
      </c>
      <c r="R31" s="20">
        <f>SUM(R29:R30)</f>
        <v>44232</v>
      </c>
      <c r="S31" s="20">
        <f>SUM(S29:S30)</f>
        <v>-1567</v>
      </c>
      <c r="T31" s="62">
        <f>ROUND(C31/R31,6)</f>
        <v>1.035427</v>
      </c>
      <c r="U31" s="67"/>
      <c r="V31" s="62">
        <f>T31</f>
        <v>1.035427</v>
      </c>
      <c r="W31" s="67"/>
      <c r="X31" s="76"/>
      <c r="Y31" s="76">
        <f t="shared" si="0"/>
        <v>0</v>
      </c>
      <c r="Z31" s="67"/>
      <c r="AA31" s="67">
        <f t="shared" si="1"/>
        <v>0</v>
      </c>
      <c r="AB31" s="52">
        <f t="shared" si="12"/>
        <v>0</v>
      </c>
      <c r="AC31" s="52">
        <f t="shared" si="9"/>
        <v>0</v>
      </c>
      <c r="AD31" s="52">
        <f t="shared" si="2"/>
        <v>0</v>
      </c>
      <c r="AE31" s="52">
        <f t="shared" si="10"/>
        <v>0</v>
      </c>
      <c r="AF31" s="89">
        <f t="shared" si="11"/>
        <v>0</v>
      </c>
    </row>
    <row r="32" spans="1:32" ht="15">
      <c r="A32" s="5">
        <v>18</v>
      </c>
      <c r="B32" s="13" t="s">
        <v>6</v>
      </c>
      <c r="C32" s="15">
        <v>64972</v>
      </c>
      <c r="D32" s="52">
        <f t="shared" si="3"/>
        <v>199825379</v>
      </c>
      <c r="E32" s="52">
        <f t="shared" si="4"/>
        <v>16652114.916666666</v>
      </c>
      <c r="F32" s="52">
        <v>159863990</v>
      </c>
      <c r="G32" s="52">
        <v>39961389</v>
      </c>
      <c r="H32" s="40">
        <f t="shared" si="5"/>
        <v>256.28999999999996</v>
      </c>
      <c r="I32" s="40">
        <f>ROUND(F32/C32/12,2)</f>
        <v>205.04</v>
      </c>
      <c r="J32" s="40">
        <f>ROUND(G32/C32/12,2)</f>
        <v>51.25</v>
      </c>
      <c r="K32" s="52"/>
      <c r="L32" s="52"/>
      <c r="M32" s="35">
        <f t="shared" si="6"/>
        <v>166521149.16666666</v>
      </c>
      <c r="N32" s="35">
        <f t="shared" si="15"/>
        <v>16652114.916666666</v>
      </c>
      <c r="O32" s="35">
        <f t="shared" si="13"/>
        <v>16652114.916666666</v>
      </c>
      <c r="P32" s="40">
        <f>H32</f>
        <v>256.28999999999996</v>
      </c>
      <c r="Q32" s="40">
        <f t="shared" si="14"/>
        <v>256.28999999999996</v>
      </c>
      <c r="R32" s="15">
        <v>65109</v>
      </c>
      <c r="S32" s="15">
        <f>R32-C32</f>
        <v>137</v>
      </c>
      <c r="T32" s="61"/>
      <c r="U32" s="67">
        <f>ROUND(P32*$T$34,2)</f>
        <v>254.77</v>
      </c>
      <c r="V32" s="61"/>
      <c r="W32" s="67">
        <f>ROUND(Q32*$V$34,2)</f>
        <v>254.77</v>
      </c>
      <c r="X32" s="76">
        <v>65267</v>
      </c>
      <c r="Y32" s="76">
        <f t="shared" si="0"/>
        <v>16727279.429999998</v>
      </c>
      <c r="Z32" s="67">
        <v>65143</v>
      </c>
      <c r="AA32" s="67">
        <f t="shared" si="1"/>
        <v>16695499.469999997</v>
      </c>
      <c r="AB32" s="52">
        <f t="shared" si="12"/>
        <v>16686785.609999998</v>
      </c>
      <c r="AC32" s="52">
        <f t="shared" si="9"/>
        <v>50109564.50999999</v>
      </c>
      <c r="AD32" s="52">
        <f t="shared" si="2"/>
        <v>49956344.75</v>
      </c>
      <c r="AE32" s="52">
        <f t="shared" si="10"/>
        <v>-153219.75999999046</v>
      </c>
      <c r="AF32" s="89">
        <f t="shared" si="11"/>
        <v>-2.35</v>
      </c>
    </row>
    <row r="33" spans="1:32" ht="30">
      <c r="A33" s="5">
        <v>19</v>
      </c>
      <c r="B33" s="23" t="s">
        <v>23</v>
      </c>
      <c r="C33" s="24">
        <v>67635</v>
      </c>
      <c r="D33" s="52">
        <f t="shared" si="3"/>
        <v>208015961</v>
      </c>
      <c r="E33" s="52">
        <f t="shared" si="4"/>
        <v>17334663.416666668</v>
      </c>
      <c r="F33" s="52">
        <v>166416522</v>
      </c>
      <c r="G33" s="52">
        <v>41599439</v>
      </c>
      <c r="H33" s="40">
        <f t="shared" si="5"/>
        <v>256.28999999999996</v>
      </c>
      <c r="I33" s="40">
        <f>ROUND(F33/C33/12,2)</f>
        <v>205.04</v>
      </c>
      <c r="J33" s="40">
        <f>ROUND(G33/C33/12,2)</f>
        <v>51.25</v>
      </c>
      <c r="K33" s="52"/>
      <c r="L33" s="52"/>
      <c r="M33" s="35">
        <f t="shared" si="6"/>
        <v>173346634.1666667</v>
      </c>
      <c r="N33" s="35">
        <f t="shared" si="15"/>
        <v>17334663.416666668</v>
      </c>
      <c r="O33" s="35">
        <f t="shared" si="13"/>
        <v>17334663.416666668</v>
      </c>
      <c r="P33" s="40">
        <f>H33</f>
        <v>256.28999999999996</v>
      </c>
      <c r="Q33" s="40">
        <f t="shared" si="14"/>
        <v>256.28999999999996</v>
      </c>
      <c r="R33" s="24">
        <v>68289</v>
      </c>
      <c r="S33" s="15">
        <f>R33-C33</f>
        <v>654</v>
      </c>
      <c r="T33" s="61"/>
      <c r="U33" s="67">
        <f>ROUND(P33*$T$34,2)</f>
        <v>254.77</v>
      </c>
      <c r="V33" s="61"/>
      <c r="W33" s="67">
        <f>ROUND(Q33*$V$34,2)</f>
        <v>254.77</v>
      </c>
      <c r="X33" s="76">
        <v>68303</v>
      </c>
      <c r="Y33" s="76">
        <f t="shared" si="0"/>
        <v>17505375.869999997</v>
      </c>
      <c r="Z33" s="67">
        <v>68323</v>
      </c>
      <c r="AA33" s="67">
        <f t="shared" si="1"/>
        <v>17510501.669999998</v>
      </c>
      <c r="AB33" s="52">
        <f t="shared" si="12"/>
        <v>17501787.81</v>
      </c>
      <c r="AC33" s="52">
        <f t="shared" si="9"/>
        <v>52517665.349999994</v>
      </c>
      <c r="AD33" s="52">
        <f t="shared" si="2"/>
        <v>52003990.25</v>
      </c>
      <c r="AE33" s="52">
        <f t="shared" si="10"/>
        <v>-513675.09999999404</v>
      </c>
      <c r="AF33" s="89">
        <f t="shared" si="11"/>
        <v>-7.52</v>
      </c>
    </row>
    <row r="34" spans="1:32" ht="14.25">
      <c r="A34" s="5"/>
      <c r="B34" s="18" t="s">
        <v>50</v>
      </c>
      <c r="C34" s="20">
        <f>SUM(C32:C33)</f>
        <v>132607</v>
      </c>
      <c r="D34" s="52"/>
      <c r="E34" s="52">
        <f t="shared" si="4"/>
        <v>0</v>
      </c>
      <c r="F34" s="52"/>
      <c r="G34" s="52"/>
      <c r="H34" s="40"/>
      <c r="I34" s="40"/>
      <c r="J34" s="40"/>
      <c r="K34" s="52"/>
      <c r="L34" s="52"/>
      <c r="M34" s="35">
        <f t="shared" si="6"/>
        <v>0</v>
      </c>
      <c r="N34" s="35">
        <f t="shared" si="15"/>
        <v>0</v>
      </c>
      <c r="O34" s="35">
        <f t="shared" si="13"/>
        <v>0</v>
      </c>
      <c r="P34" s="40"/>
      <c r="Q34" s="40">
        <f t="shared" si="14"/>
        <v>0</v>
      </c>
      <c r="R34" s="20">
        <f>SUM(R32:R33)</f>
        <v>133398</v>
      </c>
      <c r="S34" s="20">
        <f>SUM(S32:S33)</f>
        <v>791</v>
      </c>
      <c r="T34" s="62">
        <f>ROUND(C34/R34,6)</f>
        <v>0.99407</v>
      </c>
      <c r="U34" s="67"/>
      <c r="V34" s="62">
        <f>T34</f>
        <v>0.99407</v>
      </c>
      <c r="W34" s="67"/>
      <c r="X34" s="76"/>
      <c r="Y34" s="76">
        <f t="shared" si="0"/>
        <v>0</v>
      </c>
      <c r="Z34" s="67"/>
      <c r="AA34" s="67">
        <f t="shared" si="1"/>
        <v>0</v>
      </c>
      <c r="AB34" s="52">
        <f t="shared" si="12"/>
        <v>0</v>
      </c>
      <c r="AC34" s="52">
        <f t="shared" si="9"/>
        <v>0</v>
      </c>
      <c r="AD34" s="52">
        <f t="shared" si="2"/>
        <v>0</v>
      </c>
      <c r="AE34" s="52">
        <f t="shared" si="10"/>
        <v>0</v>
      </c>
      <c r="AF34" s="89">
        <f t="shared" si="11"/>
        <v>0</v>
      </c>
    </row>
    <row r="35" spans="1:32" ht="15">
      <c r="A35" s="5">
        <f>A33+1</f>
        <v>20</v>
      </c>
      <c r="B35" s="13" t="s">
        <v>19</v>
      </c>
      <c r="C35" s="15">
        <v>53839</v>
      </c>
      <c r="D35" s="52">
        <f t="shared" si="3"/>
        <v>153107233</v>
      </c>
      <c r="E35" s="52">
        <f t="shared" si="4"/>
        <v>12758936.083333334</v>
      </c>
      <c r="F35" s="52">
        <v>125064791</v>
      </c>
      <c r="G35" s="52">
        <v>28042442</v>
      </c>
      <c r="H35" s="40">
        <f t="shared" si="5"/>
        <v>236.98000000000002</v>
      </c>
      <c r="I35" s="40">
        <f>ROUND(F35/C35/12,2)</f>
        <v>193.58</v>
      </c>
      <c r="J35" s="40">
        <f>ROUND(G35/C35/12,2)</f>
        <v>43.4</v>
      </c>
      <c r="K35" s="52"/>
      <c r="L35" s="52"/>
      <c r="M35" s="35">
        <f t="shared" si="6"/>
        <v>127589360.83333334</v>
      </c>
      <c r="N35" s="35">
        <f t="shared" si="15"/>
        <v>12758936.083333334</v>
      </c>
      <c r="O35" s="35">
        <f t="shared" si="13"/>
        <v>12758936.083333334</v>
      </c>
      <c r="P35" s="40">
        <f>H35</f>
        <v>236.98000000000002</v>
      </c>
      <c r="Q35" s="40">
        <f t="shared" si="14"/>
        <v>236.98000000000002</v>
      </c>
      <c r="R35" s="15">
        <v>52588</v>
      </c>
      <c r="S35" s="15">
        <f>R35-C35</f>
        <v>-1251</v>
      </c>
      <c r="T35" s="61"/>
      <c r="U35" s="67">
        <f>ROUND(P35*$T$38,2)</f>
        <v>241.3</v>
      </c>
      <c r="V35" s="61"/>
      <c r="W35" s="67">
        <f>ROUND(Q35*$V$38,2)</f>
        <v>241.3</v>
      </c>
      <c r="X35" s="76">
        <v>52841</v>
      </c>
      <c r="Y35" s="76">
        <f t="shared" si="0"/>
        <v>12522260.180000002</v>
      </c>
      <c r="Z35" s="67">
        <v>52624</v>
      </c>
      <c r="AA35" s="67">
        <f t="shared" si="1"/>
        <v>12470835.520000001</v>
      </c>
      <c r="AB35" s="52">
        <f t="shared" si="12"/>
        <v>12462304.24</v>
      </c>
      <c r="AC35" s="52">
        <f t="shared" si="9"/>
        <v>37455399.940000005</v>
      </c>
      <c r="AD35" s="52">
        <f t="shared" si="2"/>
        <v>38276808.25</v>
      </c>
      <c r="AE35" s="52">
        <f t="shared" si="10"/>
        <v>821408.3099999949</v>
      </c>
      <c r="AF35" s="89">
        <f t="shared" si="11"/>
        <v>15.62</v>
      </c>
    </row>
    <row r="36" spans="1:32" ht="15">
      <c r="A36" s="5">
        <f>A35+1</f>
        <v>21</v>
      </c>
      <c r="B36" s="13" t="s">
        <v>3</v>
      </c>
      <c r="C36" s="15">
        <v>66065</v>
      </c>
      <c r="D36" s="52">
        <f t="shared" si="3"/>
        <v>187875597</v>
      </c>
      <c r="E36" s="52">
        <f t="shared" si="4"/>
        <v>15656299.75</v>
      </c>
      <c r="F36" s="52">
        <v>153465113</v>
      </c>
      <c r="G36" s="52">
        <v>34410484</v>
      </c>
      <c r="H36" s="40">
        <f t="shared" si="5"/>
        <v>236.98000000000002</v>
      </c>
      <c r="I36" s="40">
        <f>ROUND(F36/C36/12,2)</f>
        <v>193.58</v>
      </c>
      <c r="J36" s="40">
        <f>ROUND(G36/C36/12,2)</f>
        <v>43.4</v>
      </c>
      <c r="K36" s="52"/>
      <c r="L36" s="52"/>
      <c r="M36" s="35">
        <f t="shared" si="6"/>
        <v>156562997.5</v>
      </c>
      <c r="N36" s="35">
        <f t="shared" si="15"/>
        <v>15656299.75</v>
      </c>
      <c r="O36" s="35">
        <f t="shared" si="13"/>
        <v>15656299.75</v>
      </c>
      <c r="P36" s="40">
        <f>H36</f>
        <v>236.98000000000002</v>
      </c>
      <c r="Q36" s="40">
        <f t="shared" si="14"/>
        <v>236.98000000000002</v>
      </c>
      <c r="R36" s="15">
        <v>66703</v>
      </c>
      <c r="S36" s="15">
        <f>R36-C36</f>
        <v>638</v>
      </c>
      <c r="T36" s="61"/>
      <c r="U36" s="67">
        <f>ROUND(P36*$T$38,2)</f>
        <v>241.3</v>
      </c>
      <c r="V36" s="61"/>
      <c r="W36" s="67">
        <f>ROUND(Q36*$V$38,2)</f>
        <v>241.3</v>
      </c>
      <c r="X36" s="76">
        <v>66759</v>
      </c>
      <c r="Y36" s="76">
        <f t="shared" si="0"/>
        <v>15820547.82</v>
      </c>
      <c r="Z36" s="67">
        <v>66635</v>
      </c>
      <c r="AA36" s="67">
        <f t="shared" si="1"/>
        <v>15791162.3</v>
      </c>
      <c r="AB36" s="52">
        <f t="shared" si="12"/>
        <v>15807276.940000001</v>
      </c>
      <c r="AC36" s="52">
        <f t="shared" si="9"/>
        <v>47418987.06</v>
      </c>
      <c r="AD36" s="52">
        <f t="shared" si="2"/>
        <v>46968899.25</v>
      </c>
      <c r="AE36" s="52">
        <f t="shared" si="10"/>
        <v>-450087.8100000024</v>
      </c>
      <c r="AF36" s="89">
        <f t="shared" si="11"/>
        <v>-6.75</v>
      </c>
    </row>
    <row r="37" spans="1:32" ht="15">
      <c r="A37" s="5">
        <v>22</v>
      </c>
      <c r="B37" s="13" t="s">
        <v>20</v>
      </c>
      <c r="C37" s="15">
        <v>30238</v>
      </c>
      <c r="D37" s="52">
        <f t="shared" si="3"/>
        <v>85990677</v>
      </c>
      <c r="E37" s="52">
        <f t="shared" si="4"/>
        <v>7165889.75</v>
      </c>
      <c r="F37" s="52">
        <v>70241119</v>
      </c>
      <c r="G37" s="52">
        <v>15749558</v>
      </c>
      <c r="H37" s="40">
        <f t="shared" si="5"/>
        <v>236.98000000000002</v>
      </c>
      <c r="I37" s="40">
        <f>ROUND(F37/C37/12,2)</f>
        <v>193.58</v>
      </c>
      <c r="J37" s="40">
        <f>ROUND(G37/C37/12,2)</f>
        <v>43.4</v>
      </c>
      <c r="K37" s="52"/>
      <c r="L37" s="52"/>
      <c r="M37" s="35">
        <f t="shared" si="6"/>
        <v>71658897.5</v>
      </c>
      <c r="N37" s="35">
        <f t="shared" si="15"/>
        <v>7165889.75</v>
      </c>
      <c r="O37" s="35">
        <f t="shared" si="13"/>
        <v>7165889.75</v>
      </c>
      <c r="P37" s="40">
        <f>H37</f>
        <v>236.98000000000002</v>
      </c>
      <c r="Q37" s="40">
        <f t="shared" si="14"/>
        <v>236.98000000000002</v>
      </c>
      <c r="R37" s="15">
        <v>28166</v>
      </c>
      <c r="S37" s="15">
        <f>R37-C37</f>
        <v>-2072</v>
      </c>
      <c r="T37" s="61"/>
      <c r="U37" s="67">
        <f>ROUND(P37*$T$38,2)</f>
        <v>241.3</v>
      </c>
      <c r="V37" s="61"/>
      <c r="W37" s="67">
        <f>ROUND(Q37*$V$38,2)</f>
        <v>241.3</v>
      </c>
      <c r="X37" s="76">
        <v>28249</v>
      </c>
      <c r="Y37" s="76">
        <f t="shared" si="0"/>
        <v>6694448.0200000005</v>
      </c>
      <c r="Z37" s="67">
        <v>28162</v>
      </c>
      <c r="AA37" s="67">
        <f t="shared" si="1"/>
        <v>6673830.760000001</v>
      </c>
      <c r="AB37" s="52">
        <f t="shared" si="12"/>
        <v>6674778.680000001</v>
      </c>
      <c r="AC37" s="52">
        <f t="shared" si="9"/>
        <v>20043057.46</v>
      </c>
      <c r="AD37" s="52">
        <f t="shared" si="2"/>
        <v>21497669.25</v>
      </c>
      <c r="AE37" s="52">
        <f t="shared" si="10"/>
        <v>1454611.789999999</v>
      </c>
      <c r="AF37" s="89">
        <f t="shared" si="11"/>
        <v>51.64</v>
      </c>
    </row>
    <row r="38" spans="1:32" ht="14.25">
      <c r="A38" s="5"/>
      <c r="B38" s="18" t="s">
        <v>51</v>
      </c>
      <c r="C38" s="20">
        <f>SUM(C35:C37)</f>
        <v>150142</v>
      </c>
      <c r="D38" s="52"/>
      <c r="E38" s="52">
        <f t="shared" si="4"/>
        <v>0</v>
      </c>
      <c r="F38" s="52"/>
      <c r="G38" s="52"/>
      <c r="H38" s="40"/>
      <c r="I38" s="40"/>
      <c r="J38" s="40"/>
      <c r="K38" s="52"/>
      <c r="L38" s="52"/>
      <c r="M38" s="35">
        <f t="shared" si="6"/>
        <v>0</v>
      </c>
      <c r="N38" s="35">
        <f t="shared" si="15"/>
        <v>0</v>
      </c>
      <c r="O38" s="35">
        <f t="shared" si="13"/>
        <v>0</v>
      </c>
      <c r="P38" s="40"/>
      <c r="Q38" s="40">
        <f t="shared" si="14"/>
        <v>0</v>
      </c>
      <c r="R38" s="20">
        <f>SUM(R35:R37)</f>
        <v>147457</v>
      </c>
      <c r="S38" s="20">
        <f>SUM(S35:S37)</f>
        <v>-2685</v>
      </c>
      <c r="T38" s="62">
        <f>ROUND(C38/R38,6)</f>
        <v>1.018209</v>
      </c>
      <c r="U38" s="67"/>
      <c r="V38" s="62">
        <f>T38</f>
        <v>1.018209</v>
      </c>
      <c r="W38" s="67"/>
      <c r="X38" s="76"/>
      <c r="Y38" s="76">
        <f t="shared" si="0"/>
        <v>0</v>
      </c>
      <c r="Z38" s="67"/>
      <c r="AA38" s="67">
        <f t="shared" si="1"/>
        <v>0</v>
      </c>
      <c r="AB38" s="52">
        <f t="shared" si="12"/>
        <v>0</v>
      </c>
      <c r="AC38" s="52">
        <f t="shared" si="9"/>
        <v>0</v>
      </c>
      <c r="AD38" s="52">
        <f t="shared" si="2"/>
        <v>0</v>
      </c>
      <c r="AE38" s="52">
        <f t="shared" si="10"/>
        <v>0</v>
      </c>
      <c r="AF38" s="89">
        <f t="shared" si="11"/>
        <v>0</v>
      </c>
    </row>
    <row r="39" spans="1:32" ht="15">
      <c r="A39" s="5">
        <v>23</v>
      </c>
      <c r="B39" s="13" t="s">
        <v>37</v>
      </c>
      <c r="C39" s="15">
        <v>107297</v>
      </c>
      <c r="D39" s="52">
        <f t="shared" si="3"/>
        <v>261113339</v>
      </c>
      <c r="E39" s="52">
        <f t="shared" si="4"/>
        <v>21759444.916666668</v>
      </c>
      <c r="F39" s="52">
        <v>194081346</v>
      </c>
      <c r="G39" s="52">
        <v>67031993</v>
      </c>
      <c r="H39" s="40">
        <f t="shared" si="5"/>
        <v>202.8</v>
      </c>
      <c r="I39" s="40">
        <f>ROUND(F39/C39/12,2)</f>
        <v>150.74</v>
      </c>
      <c r="J39" s="40">
        <f>ROUND(G39/C39/12,2)</f>
        <v>52.06</v>
      </c>
      <c r="K39" s="52"/>
      <c r="L39" s="52"/>
      <c r="M39" s="35">
        <f t="shared" si="6"/>
        <v>217594449.1666667</v>
      </c>
      <c r="N39" s="35">
        <f t="shared" si="15"/>
        <v>21759444.916666668</v>
      </c>
      <c r="O39" s="35">
        <f t="shared" si="13"/>
        <v>21759444.916666668</v>
      </c>
      <c r="P39" s="40">
        <f>H39</f>
        <v>202.8</v>
      </c>
      <c r="Q39" s="40">
        <f t="shared" si="14"/>
        <v>202.8</v>
      </c>
      <c r="R39" s="15">
        <v>107919</v>
      </c>
      <c r="S39" s="15">
        <f>R39-C39</f>
        <v>622</v>
      </c>
      <c r="T39" s="61"/>
      <c r="U39" s="67">
        <f>ROUND(P39*$T$41,2)</f>
        <v>203.8</v>
      </c>
      <c r="V39" s="61"/>
      <c r="W39" s="67">
        <f>ROUND(Q39*$V$41,2)</f>
        <v>203.8</v>
      </c>
      <c r="X39" s="76">
        <v>106492</v>
      </c>
      <c r="Y39" s="76">
        <f t="shared" si="0"/>
        <v>21596577.6</v>
      </c>
      <c r="Z39" s="67">
        <v>107934</v>
      </c>
      <c r="AA39" s="67">
        <f t="shared" si="1"/>
        <v>21889015.200000003</v>
      </c>
      <c r="AB39" s="52">
        <f t="shared" si="12"/>
        <v>21885973.200000003</v>
      </c>
      <c r="AC39" s="52">
        <f t="shared" si="9"/>
        <v>65371566.00000001</v>
      </c>
      <c r="AD39" s="52">
        <f t="shared" si="2"/>
        <v>65278334.75</v>
      </c>
      <c r="AE39" s="52">
        <f t="shared" si="10"/>
        <v>-93231.25000000745</v>
      </c>
      <c r="AF39" s="89">
        <f t="shared" si="11"/>
        <v>-0.86</v>
      </c>
    </row>
    <row r="40" spans="1:32" ht="30">
      <c r="A40" s="5">
        <v>24</v>
      </c>
      <c r="B40" s="13" t="s">
        <v>5</v>
      </c>
      <c r="C40" s="15">
        <v>203088</v>
      </c>
      <c r="D40" s="52">
        <f t="shared" si="3"/>
        <v>494225182</v>
      </c>
      <c r="E40" s="52">
        <f t="shared" si="4"/>
        <v>41185431.833333336</v>
      </c>
      <c r="F40" s="52">
        <v>367350451</v>
      </c>
      <c r="G40" s="52">
        <v>126874731</v>
      </c>
      <c r="H40" s="40">
        <f t="shared" si="5"/>
        <v>202.8</v>
      </c>
      <c r="I40" s="40">
        <f>ROUND(F40/C40/12,2)</f>
        <v>150.74</v>
      </c>
      <c r="J40" s="40">
        <f>ROUND(G40/C40/12,2)</f>
        <v>52.06</v>
      </c>
      <c r="K40" s="52"/>
      <c r="L40" s="52"/>
      <c r="M40" s="35">
        <f t="shared" si="6"/>
        <v>411854318.3333334</v>
      </c>
      <c r="N40" s="35">
        <f t="shared" si="15"/>
        <v>41185431.833333336</v>
      </c>
      <c r="O40" s="35">
        <f t="shared" si="13"/>
        <v>41185431.833333336</v>
      </c>
      <c r="P40" s="40">
        <f>H40</f>
        <v>202.8</v>
      </c>
      <c r="Q40" s="40">
        <f t="shared" si="14"/>
        <v>202.8</v>
      </c>
      <c r="R40" s="15">
        <v>200944</v>
      </c>
      <c r="S40" s="15">
        <f>R40-C40</f>
        <v>-2144</v>
      </c>
      <c r="T40" s="61"/>
      <c r="U40" s="67">
        <f>ROUND(P40*$T$41,2)</f>
        <v>203.8</v>
      </c>
      <c r="V40" s="61"/>
      <c r="W40" s="67">
        <f>ROUND(Q40*$V$41,2)</f>
        <v>203.8</v>
      </c>
      <c r="X40" s="76">
        <v>201125</v>
      </c>
      <c r="Y40" s="76">
        <f t="shared" si="0"/>
        <v>40788150</v>
      </c>
      <c r="Z40" s="67">
        <v>201062</v>
      </c>
      <c r="AA40" s="67">
        <f t="shared" si="1"/>
        <v>40775373.6</v>
      </c>
      <c r="AB40" s="52">
        <f t="shared" si="12"/>
        <v>40751443.2</v>
      </c>
      <c r="AC40" s="52">
        <f t="shared" si="9"/>
        <v>122314966.8</v>
      </c>
      <c r="AD40" s="52">
        <f t="shared" si="2"/>
        <v>123556295.5</v>
      </c>
      <c r="AE40" s="52">
        <f t="shared" si="10"/>
        <v>1241328.700000003</v>
      </c>
      <c r="AF40" s="89">
        <f t="shared" si="11"/>
        <v>6.18</v>
      </c>
    </row>
    <row r="41" spans="2:32" ht="14.25">
      <c r="B41" s="18" t="s">
        <v>52</v>
      </c>
      <c r="C41" s="20">
        <f>SUM(C39:C40)</f>
        <v>310385</v>
      </c>
      <c r="D41" s="52"/>
      <c r="E41" s="52">
        <f t="shared" si="4"/>
        <v>0</v>
      </c>
      <c r="F41" s="52"/>
      <c r="G41" s="52"/>
      <c r="H41" s="40"/>
      <c r="I41" s="40"/>
      <c r="J41" s="40"/>
      <c r="K41" s="52"/>
      <c r="L41" s="52"/>
      <c r="M41" s="35">
        <f t="shared" si="6"/>
        <v>0</v>
      </c>
      <c r="N41" s="35">
        <f>M41/12</f>
        <v>0</v>
      </c>
      <c r="O41" s="35">
        <f t="shared" si="13"/>
        <v>0</v>
      </c>
      <c r="P41" s="40"/>
      <c r="Q41" s="40"/>
      <c r="R41" s="20">
        <f>SUM(R39:R40)</f>
        <v>308863</v>
      </c>
      <c r="S41" s="20">
        <f>SUM(S39:S40)</f>
        <v>-1522</v>
      </c>
      <c r="T41" s="62">
        <f>ROUND(C41/R41,6)</f>
        <v>1.004928</v>
      </c>
      <c r="U41" s="40"/>
      <c r="V41" s="62">
        <f>T41</f>
        <v>1.004928</v>
      </c>
      <c r="W41" s="40"/>
      <c r="X41" s="52"/>
      <c r="Y41" s="76">
        <f t="shared" si="0"/>
        <v>0</v>
      </c>
      <c r="Z41" s="40"/>
      <c r="AA41" s="67">
        <f t="shared" si="1"/>
        <v>0</v>
      </c>
      <c r="AB41" s="52">
        <f t="shared" si="12"/>
        <v>0</v>
      </c>
      <c r="AC41" s="52">
        <f t="shared" si="9"/>
        <v>0</v>
      </c>
      <c r="AD41" s="52">
        <f t="shared" si="2"/>
        <v>0</v>
      </c>
      <c r="AE41" s="52">
        <f t="shared" si="10"/>
        <v>0</v>
      </c>
      <c r="AF41" s="89"/>
    </row>
    <row r="42" spans="1:34" s="29" customFormat="1" ht="14.25">
      <c r="A42" s="25"/>
      <c r="B42" s="26" t="s">
        <v>38</v>
      </c>
      <c r="C42" s="28">
        <f>C41+C38+C34+C31+C28+C25+C22+C18+C14+C10</f>
        <v>1546695</v>
      </c>
      <c r="D42" s="83">
        <f>SUM(D8:D41)</f>
        <v>5141683506</v>
      </c>
      <c r="E42" s="83">
        <f>SUM(E8:E41)</f>
        <v>428473625.50000006</v>
      </c>
      <c r="F42" s="83">
        <f>SUM(F8:F41)</f>
        <v>4171351350</v>
      </c>
      <c r="G42" s="83">
        <f>SUM(G8:G41)</f>
        <v>970332156</v>
      </c>
      <c r="H42" s="31">
        <f aca="true" t="shared" si="16" ref="H42:M42">SUM(H8:H41)</f>
        <v>7013.370000000001</v>
      </c>
      <c r="I42" s="31">
        <f t="shared" si="16"/>
        <v>5748.49</v>
      </c>
      <c r="J42" s="31">
        <f t="shared" si="16"/>
        <v>1264.8800000000003</v>
      </c>
      <c r="K42" s="49">
        <f t="shared" si="16"/>
        <v>10000000</v>
      </c>
      <c r="L42" s="49">
        <f t="shared" si="16"/>
        <v>-10000000</v>
      </c>
      <c r="M42" s="49">
        <f t="shared" si="16"/>
        <v>4284736255</v>
      </c>
      <c r="N42" s="49">
        <f>SUM(N8:N41)</f>
        <v>429473625.50000006</v>
      </c>
      <c r="O42" s="49">
        <f>SUM(O8:O41)</f>
        <v>428223625.50000006</v>
      </c>
      <c r="P42" s="53">
        <f>ROUND(N42/C42,2)</f>
        <v>277.67</v>
      </c>
      <c r="Q42" s="54"/>
      <c r="R42" s="28">
        <f>R41+R38+R34+R31+R28+R25+R22+R18+R14+R10</f>
        <v>1551708</v>
      </c>
      <c r="S42" s="28">
        <f>S41+S38+S34+S31+S28+S25+S22+S18+S14+S10</f>
        <v>5013</v>
      </c>
      <c r="T42" s="62">
        <f>ROUND(C42/R42,6)</f>
        <v>0.996769</v>
      </c>
      <c r="U42" s="53"/>
      <c r="V42" s="62">
        <f>T42</f>
        <v>0.996769</v>
      </c>
      <c r="W42" s="53"/>
      <c r="X42" s="77">
        <f aca="true" t="shared" si="17" ref="X42:AE42">SUM(X8:X41)</f>
        <v>1551960</v>
      </c>
      <c r="Y42" s="77">
        <f t="shared" si="17"/>
        <v>430577366.16999996</v>
      </c>
      <c r="Z42" s="77">
        <f t="shared" si="17"/>
        <v>1550396</v>
      </c>
      <c r="AA42" s="77">
        <f t="shared" si="17"/>
        <v>429855606.85</v>
      </c>
      <c r="AB42" s="77">
        <f t="shared" si="17"/>
        <v>431173097.46000004</v>
      </c>
      <c r="AC42" s="77">
        <f t="shared" si="17"/>
        <v>1291606070.48</v>
      </c>
      <c r="AD42" s="77">
        <f t="shared" si="17"/>
        <v>1286420876.5</v>
      </c>
      <c r="AE42" s="77">
        <f t="shared" si="17"/>
        <v>-5185193.979999963</v>
      </c>
      <c r="AF42" s="89"/>
      <c r="AG42" s="74"/>
      <c r="AH42" s="74"/>
    </row>
    <row r="43" spans="2:32" ht="15">
      <c r="B43" s="32" t="s">
        <v>39</v>
      </c>
      <c r="C43" s="34"/>
      <c r="D43" s="52"/>
      <c r="E43" s="52"/>
      <c r="F43" s="52">
        <v>4171353315</v>
      </c>
      <c r="G43" s="52">
        <v>970329687</v>
      </c>
      <c r="H43" s="33"/>
      <c r="I43" s="33"/>
      <c r="J43" s="33"/>
      <c r="K43" s="52"/>
      <c r="L43" s="52"/>
      <c r="M43" s="52"/>
      <c r="N43" s="52">
        <f>N42*2</f>
        <v>858947251.0000001</v>
      </c>
      <c r="O43" s="52">
        <f>O42*8</f>
        <v>3425789004.0000005</v>
      </c>
      <c r="P43" s="33"/>
      <c r="Q43" s="33"/>
      <c r="R43" s="34"/>
      <c r="S43" s="15"/>
      <c r="T43" s="61"/>
      <c r="U43" s="40"/>
      <c r="V43" s="61"/>
      <c r="W43" s="40"/>
      <c r="X43" s="52"/>
      <c r="Y43" s="40"/>
      <c r="Z43" s="40"/>
      <c r="AA43" s="40"/>
      <c r="AB43" s="52"/>
      <c r="AC43" s="52"/>
      <c r="AD43" s="52"/>
      <c r="AE43" s="52">
        <f t="shared" si="10"/>
        <v>0</v>
      </c>
      <c r="AF43" s="89"/>
    </row>
    <row r="44" spans="2:32" ht="15">
      <c r="B44" s="32" t="s">
        <v>40</v>
      </c>
      <c r="C44" s="34"/>
      <c r="D44" s="52"/>
      <c r="E44" s="52"/>
      <c r="F44" s="52">
        <f>F42-F43</f>
        <v>-1965</v>
      </c>
      <c r="G44" s="52">
        <f>G42-G43</f>
        <v>2469</v>
      </c>
      <c r="H44" s="33"/>
      <c r="I44" s="33"/>
      <c r="J44" s="33"/>
      <c r="K44" s="52"/>
      <c r="L44" s="52"/>
      <c r="M44" s="52"/>
      <c r="N44" s="52"/>
      <c r="O44" s="52"/>
      <c r="P44" s="33"/>
      <c r="Q44" s="33"/>
      <c r="R44" s="34"/>
      <c r="S44" s="15"/>
      <c r="T44" s="61"/>
      <c r="U44" s="40"/>
      <c r="V44" s="61"/>
      <c r="W44" s="40"/>
      <c r="X44" s="52"/>
      <c r="Y44" s="40"/>
      <c r="Z44" s="40"/>
      <c r="AA44" s="40"/>
      <c r="AB44" s="52"/>
      <c r="AC44" s="52"/>
      <c r="AD44" s="52">
        <f>E44*2+N44</f>
        <v>0</v>
      </c>
      <c r="AE44" s="52">
        <f t="shared" si="10"/>
        <v>0</v>
      </c>
      <c r="AF44" s="89"/>
    </row>
  </sheetData>
  <sheetProtection/>
  <mergeCells count="24">
    <mergeCell ref="B2:F2"/>
    <mergeCell ref="C3:J3"/>
    <mergeCell ref="A4:A5"/>
    <mergeCell ref="B4:B5"/>
    <mergeCell ref="C4:C5"/>
    <mergeCell ref="D4:G4"/>
    <mergeCell ref="H4:J4"/>
    <mergeCell ref="X4:AC4"/>
    <mergeCell ref="K4:K5"/>
    <mergeCell ref="L4:L5"/>
    <mergeCell ref="M4:O4"/>
    <mergeCell ref="P4:P5"/>
    <mergeCell ref="Q4:Q5"/>
    <mergeCell ref="R4:R5"/>
    <mergeCell ref="AD4:AD5"/>
    <mergeCell ref="AE4:AE5"/>
    <mergeCell ref="X5:Y5"/>
    <mergeCell ref="Z5:AA5"/>
    <mergeCell ref="AF4:AF6"/>
    <mergeCell ref="S4:S5"/>
    <mergeCell ref="T4:T5"/>
    <mergeCell ref="U4:U5"/>
    <mergeCell ref="V4:V5"/>
    <mergeCell ref="W4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SheetLayoutView="100" zoomScalePageLayoutView="0" workbookViewId="0" topLeftCell="A1">
      <selection activeCell="C5" sqref="C5:C7"/>
    </sheetView>
  </sheetViews>
  <sheetFormatPr defaultColWidth="9.00390625" defaultRowHeight="12.75"/>
  <cols>
    <col min="1" max="1" width="5.00390625" style="109" customWidth="1"/>
    <col min="2" max="2" width="8.125" style="107" customWidth="1"/>
    <col min="3" max="3" width="36.125" style="105" customWidth="1"/>
    <col min="4" max="4" width="11.875" style="105" customWidth="1"/>
    <col min="5" max="5" width="13.25390625" style="108" customWidth="1"/>
    <col min="6" max="6" width="12.25390625" style="109" customWidth="1"/>
    <col min="7" max="7" width="12.75390625" style="108" customWidth="1"/>
    <col min="8" max="8" width="10.625" style="108" customWidth="1"/>
    <col min="9" max="9" width="12.75390625" style="108" customWidth="1"/>
    <col min="10" max="16384" width="9.125" style="105" customWidth="1"/>
  </cols>
  <sheetData>
    <row r="1" spans="1:9" s="1" customFormat="1" ht="35.25" customHeight="1">
      <c r="A1" s="158"/>
      <c r="B1" s="158"/>
      <c r="C1" s="158"/>
      <c r="D1" s="93"/>
      <c r="E1" s="91"/>
      <c r="G1" s="166" t="s">
        <v>115</v>
      </c>
      <c r="H1" s="166"/>
      <c r="I1" s="166"/>
    </row>
    <row r="2" spans="1:9" s="92" customFormat="1" ht="54" customHeight="1">
      <c r="A2" s="161" t="s">
        <v>117</v>
      </c>
      <c r="B2" s="161"/>
      <c r="C2" s="161"/>
      <c r="D2" s="161"/>
      <c r="E2" s="161"/>
      <c r="F2" s="161"/>
      <c r="G2" s="161"/>
      <c r="H2" s="161"/>
      <c r="I2" s="161"/>
    </row>
    <row r="3" spans="1:9" s="1" customFormat="1" ht="48" customHeight="1">
      <c r="A3" s="161" t="s">
        <v>116</v>
      </c>
      <c r="B3" s="161"/>
      <c r="C3" s="161"/>
      <c r="D3" s="161"/>
      <c r="E3" s="161"/>
      <c r="F3" s="161"/>
      <c r="G3" s="161"/>
      <c r="H3" s="161"/>
      <c r="I3" s="161"/>
    </row>
    <row r="4" spans="1:9" s="1" customFormat="1" ht="18.75" customHeight="1">
      <c r="A4" s="95"/>
      <c r="B4" s="96"/>
      <c r="C4" s="95"/>
      <c r="D4" s="95"/>
      <c r="E4" s="95"/>
      <c r="F4" s="95"/>
      <c r="G4" s="95"/>
      <c r="H4" s="95"/>
      <c r="I4" s="95"/>
    </row>
    <row r="5" spans="1:9" s="1" customFormat="1" ht="12.75" customHeight="1">
      <c r="A5" s="164" t="s">
        <v>0</v>
      </c>
      <c r="B5" s="163" t="s">
        <v>97</v>
      </c>
      <c r="C5" s="164" t="s">
        <v>98</v>
      </c>
      <c r="D5" s="170" t="s">
        <v>129</v>
      </c>
      <c r="E5" s="115" t="s">
        <v>99</v>
      </c>
      <c r="F5" s="164" t="s">
        <v>100</v>
      </c>
      <c r="G5" s="164"/>
      <c r="H5" s="164"/>
      <c r="I5" s="164"/>
    </row>
    <row r="6" spans="1:9" s="1" customFormat="1" ht="12.75" customHeight="1">
      <c r="A6" s="164"/>
      <c r="B6" s="163"/>
      <c r="C6" s="164"/>
      <c r="D6" s="170"/>
      <c r="E6" s="167" t="s">
        <v>128</v>
      </c>
      <c r="F6" s="169" t="s">
        <v>130</v>
      </c>
      <c r="G6" s="114" t="s">
        <v>99</v>
      </c>
      <c r="H6" s="169" t="s">
        <v>131</v>
      </c>
      <c r="I6" s="114" t="s">
        <v>99</v>
      </c>
    </row>
    <row r="7" spans="1:9" s="1" customFormat="1" ht="78.75" customHeight="1">
      <c r="A7" s="164"/>
      <c r="B7" s="163"/>
      <c r="C7" s="164"/>
      <c r="D7" s="170"/>
      <c r="E7" s="168"/>
      <c r="F7" s="169"/>
      <c r="G7" s="97" t="s">
        <v>126</v>
      </c>
      <c r="H7" s="169"/>
      <c r="I7" s="97" t="s">
        <v>127</v>
      </c>
    </row>
    <row r="8" spans="1:9" s="101" customFormat="1" ht="13.5" customHeight="1">
      <c r="A8" s="98">
        <v>1</v>
      </c>
      <c r="B8" s="99">
        <f>A8+1</f>
        <v>2</v>
      </c>
      <c r="C8" s="99">
        <f>B8+1</f>
        <v>3</v>
      </c>
      <c r="D8" s="99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</row>
    <row r="9" spans="1:9" s="117" customFormat="1" ht="18" customHeight="1">
      <c r="A9" s="102">
        <v>1</v>
      </c>
      <c r="B9" s="171">
        <v>1</v>
      </c>
      <c r="C9" s="112" t="s">
        <v>13</v>
      </c>
      <c r="D9" s="103">
        <f>F9+H9</f>
        <v>364.53000000000003</v>
      </c>
      <c r="E9" s="103">
        <f>G9+I9</f>
        <v>360.89000000000004</v>
      </c>
      <c r="F9" s="103">
        <v>302.43</v>
      </c>
      <c r="G9" s="103">
        <f>ROUND(F9*0.99,2)</f>
        <v>299.41</v>
      </c>
      <c r="H9" s="103">
        <v>62.1</v>
      </c>
      <c r="I9" s="103">
        <f aca="true" t="shared" si="0" ref="I9:I41">ROUND(H9*0.99,2)</f>
        <v>61.48</v>
      </c>
    </row>
    <row r="10" spans="1:9" s="119" customFormat="1" ht="18" customHeight="1">
      <c r="A10" s="104">
        <v>2</v>
      </c>
      <c r="B10" s="172"/>
      <c r="C10" s="112" t="s">
        <v>118</v>
      </c>
      <c r="D10" s="103">
        <f>F10+H10</f>
        <v>364.53000000000003</v>
      </c>
      <c r="E10" s="103">
        <f>G10+I10</f>
        <v>360.89000000000004</v>
      </c>
      <c r="F10" s="118">
        <v>302.43</v>
      </c>
      <c r="G10" s="103">
        <f>ROUND(F10*0.99,2)</f>
        <v>299.41</v>
      </c>
      <c r="H10" s="103">
        <v>62.1</v>
      </c>
      <c r="I10" s="103">
        <f t="shared" si="0"/>
        <v>61.48</v>
      </c>
    </row>
    <row r="11" spans="1:9" s="123" customFormat="1" ht="18" customHeight="1">
      <c r="A11" s="120"/>
      <c r="B11" s="94"/>
      <c r="C11" s="121" t="s">
        <v>105</v>
      </c>
      <c r="D11" s="122">
        <f aca="true" t="shared" si="1" ref="D11:I11">D10</f>
        <v>364.53000000000003</v>
      </c>
      <c r="E11" s="122">
        <f t="shared" si="1"/>
        <v>360.89000000000004</v>
      </c>
      <c r="F11" s="122">
        <f t="shared" si="1"/>
        <v>302.43</v>
      </c>
      <c r="G11" s="122">
        <f t="shared" si="1"/>
        <v>299.41</v>
      </c>
      <c r="H11" s="122">
        <f t="shared" si="1"/>
        <v>62.1</v>
      </c>
      <c r="I11" s="122">
        <f t="shared" si="1"/>
        <v>61.48</v>
      </c>
    </row>
    <row r="12" spans="1:9" s="113" customFormat="1" ht="18" customHeight="1">
      <c r="A12" s="104">
        <v>3</v>
      </c>
      <c r="B12" s="159">
        <v>2</v>
      </c>
      <c r="C12" s="112" t="s">
        <v>11</v>
      </c>
      <c r="D12" s="103">
        <f aca="true" t="shared" si="2" ref="D12:E14">F12+H12</f>
        <v>348.45</v>
      </c>
      <c r="E12" s="103">
        <f t="shared" si="2"/>
        <v>344.96000000000004</v>
      </c>
      <c r="F12" s="103">
        <v>285.52</v>
      </c>
      <c r="G12" s="103">
        <f>ROUND(F12*0.99,2)</f>
        <v>282.66</v>
      </c>
      <c r="H12" s="103">
        <v>62.93</v>
      </c>
      <c r="I12" s="103">
        <f t="shared" si="0"/>
        <v>62.3</v>
      </c>
    </row>
    <row r="13" spans="1:9" s="113" customFormat="1" ht="18" customHeight="1">
      <c r="A13" s="104">
        <v>4</v>
      </c>
      <c r="B13" s="162"/>
      <c r="C13" s="112" t="s">
        <v>119</v>
      </c>
      <c r="D13" s="103">
        <f t="shared" si="2"/>
        <v>348.45</v>
      </c>
      <c r="E13" s="103">
        <f t="shared" si="2"/>
        <v>344.96000000000004</v>
      </c>
      <c r="F13" s="103">
        <v>285.52</v>
      </c>
      <c r="G13" s="103">
        <f>ROUND(F13*0.99,2)</f>
        <v>282.66</v>
      </c>
      <c r="H13" s="103">
        <v>62.93</v>
      </c>
      <c r="I13" s="103">
        <f t="shared" si="0"/>
        <v>62.3</v>
      </c>
    </row>
    <row r="14" spans="1:9" s="113" customFormat="1" ht="18" customHeight="1">
      <c r="A14" s="104">
        <v>5</v>
      </c>
      <c r="B14" s="160"/>
      <c r="C14" s="112" t="s">
        <v>18</v>
      </c>
      <c r="D14" s="103">
        <f t="shared" si="2"/>
        <v>348.45</v>
      </c>
      <c r="E14" s="103">
        <f t="shared" si="2"/>
        <v>344.96000000000004</v>
      </c>
      <c r="F14" s="103">
        <v>285.52</v>
      </c>
      <c r="G14" s="103">
        <f>ROUND(F14*0.99,2)</f>
        <v>282.66</v>
      </c>
      <c r="H14" s="103">
        <v>62.93</v>
      </c>
      <c r="I14" s="103">
        <f t="shared" si="0"/>
        <v>62.3</v>
      </c>
    </row>
    <row r="15" spans="1:9" s="123" customFormat="1" ht="18" customHeight="1">
      <c r="A15" s="120"/>
      <c r="B15" s="106"/>
      <c r="C15" s="121" t="s">
        <v>106</v>
      </c>
      <c r="D15" s="122">
        <f aca="true" t="shared" si="3" ref="D15:I15">D14</f>
        <v>348.45</v>
      </c>
      <c r="E15" s="122">
        <f t="shared" si="3"/>
        <v>344.96000000000004</v>
      </c>
      <c r="F15" s="122">
        <f t="shared" si="3"/>
        <v>285.52</v>
      </c>
      <c r="G15" s="122">
        <f t="shared" si="3"/>
        <v>282.66</v>
      </c>
      <c r="H15" s="122">
        <f t="shared" si="3"/>
        <v>62.93</v>
      </c>
      <c r="I15" s="122">
        <f t="shared" si="3"/>
        <v>62.3</v>
      </c>
    </row>
    <row r="16" spans="1:9" s="113" customFormat="1" ht="18" customHeight="1">
      <c r="A16" s="104">
        <v>6</v>
      </c>
      <c r="B16" s="159">
        <v>3</v>
      </c>
      <c r="C16" s="112" t="s">
        <v>15</v>
      </c>
      <c r="D16" s="103">
        <f aca="true" t="shared" si="4" ref="D16:E18">F16+H16</f>
        <v>337.52</v>
      </c>
      <c r="E16" s="103">
        <f t="shared" si="4"/>
        <v>334.14000000000004</v>
      </c>
      <c r="F16" s="103">
        <v>286.53</v>
      </c>
      <c r="G16" s="103">
        <f>ROUND(F16*0.99,2)</f>
        <v>283.66</v>
      </c>
      <c r="H16" s="103">
        <v>50.99</v>
      </c>
      <c r="I16" s="103">
        <f t="shared" si="0"/>
        <v>50.48</v>
      </c>
    </row>
    <row r="17" spans="1:9" s="113" customFormat="1" ht="18" customHeight="1">
      <c r="A17" s="104">
        <v>7</v>
      </c>
      <c r="B17" s="162"/>
      <c r="C17" s="112" t="s">
        <v>120</v>
      </c>
      <c r="D17" s="103">
        <f t="shared" si="4"/>
        <v>337.52</v>
      </c>
      <c r="E17" s="103">
        <f t="shared" si="4"/>
        <v>334.14000000000004</v>
      </c>
      <c r="F17" s="103">
        <v>286.53</v>
      </c>
      <c r="G17" s="103">
        <f>ROUND(F17*0.99,2)</f>
        <v>283.66</v>
      </c>
      <c r="H17" s="103">
        <v>50.99</v>
      </c>
      <c r="I17" s="103">
        <f t="shared" si="0"/>
        <v>50.48</v>
      </c>
    </row>
    <row r="18" spans="1:9" s="113" customFormat="1" ht="18" customHeight="1">
      <c r="A18" s="104">
        <v>8</v>
      </c>
      <c r="B18" s="160"/>
      <c r="C18" s="112" t="s">
        <v>16</v>
      </c>
      <c r="D18" s="103">
        <f t="shared" si="4"/>
        <v>337.52</v>
      </c>
      <c r="E18" s="103">
        <f t="shared" si="4"/>
        <v>334.14000000000004</v>
      </c>
      <c r="F18" s="103">
        <v>286.53</v>
      </c>
      <c r="G18" s="103">
        <f>ROUND(F18*0.99,2)</f>
        <v>283.66</v>
      </c>
      <c r="H18" s="103">
        <v>50.99</v>
      </c>
      <c r="I18" s="103">
        <f t="shared" si="0"/>
        <v>50.48</v>
      </c>
    </row>
    <row r="19" spans="1:9" s="123" customFormat="1" ht="18" customHeight="1">
      <c r="A19" s="120"/>
      <c r="B19" s="106"/>
      <c r="C19" s="121" t="s">
        <v>107</v>
      </c>
      <c r="D19" s="122">
        <f aca="true" t="shared" si="5" ref="D19:I19">D18</f>
        <v>337.52</v>
      </c>
      <c r="E19" s="122">
        <f t="shared" si="5"/>
        <v>334.14000000000004</v>
      </c>
      <c r="F19" s="122">
        <f t="shared" si="5"/>
        <v>286.53</v>
      </c>
      <c r="G19" s="122">
        <f t="shared" si="5"/>
        <v>283.66</v>
      </c>
      <c r="H19" s="122">
        <f t="shared" si="5"/>
        <v>50.99</v>
      </c>
      <c r="I19" s="122">
        <f t="shared" si="5"/>
        <v>50.48</v>
      </c>
    </row>
    <row r="20" spans="1:9" s="113" customFormat="1" ht="18" customHeight="1">
      <c r="A20" s="104">
        <v>9</v>
      </c>
      <c r="B20" s="162">
        <v>4</v>
      </c>
      <c r="C20" s="112" t="s">
        <v>10</v>
      </c>
      <c r="D20" s="103">
        <f>F20+H20</f>
        <v>309.41999999999996</v>
      </c>
      <c r="E20" s="103">
        <f>G20+I20</f>
        <v>306.33</v>
      </c>
      <c r="F20" s="103">
        <v>252.98</v>
      </c>
      <c r="G20" s="103">
        <f>ROUND(F20*0.99,2)</f>
        <v>250.45</v>
      </c>
      <c r="H20" s="103">
        <v>56.44</v>
      </c>
      <c r="I20" s="103">
        <f t="shared" si="0"/>
        <v>55.88</v>
      </c>
    </row>
    <row r="21" spans="1:9" s="113" customFormat="1" ht="18" customHeight="1">
      <c r="A21" s="104">
        <v>10</v>
      </c>
      <c r="B21" s="162"/>
      <c r="C21" s="112" t="s">
        <v>22</v>
      </c>
      <c r="D21" s="103">
        <f>F21+H21</f>
        <v>309.41999999999996</v>
      </c>
      <c r="E21" s="103">
        <f>G21+I21</f>
        <v>306.33</v>
      </c>
      <c r="F21" s="103">
        <v>252.98</v>
      </c>
      <c r="G21" s="103">
        <f>ROUND(F21*0.99,2)</f>
        <v>250.45</v>
      </c>
      <c r="H21" s="103">
        <v>56.44</v>
      </c>
      <c r="I21" s="103">
        <f t="shared" si="0"/>
        <v>55.88</v>
      </c>
    </row>
    <row r="22" spans="1:9" s="113" customFormat="1" ht="18" customHeight="1">
      <c r="A22" s="104">
        <v>11</v>
      </c>
      <c r="B22" s="160"/>
      <c r="C22" s="112" t="s">
        <v>17</v>
      </c>
      <c r="D22" s="103">
        <v>309.41999999999996</v>
      </c>
      <c r="E22" s="103">
        <f>G22+I22</f>
        <v>306.33</v>
      </c>
      <c r="F22" s="103">
        <v>252.98</v>
      </c>
      <c r="G22" s="103">
        <f>ROUND(F22*0.99,2)</f>
        <v>250.45</v>
      </c>
      <c r="H22" s="103">
        <v>56.44</v>
      </c>
      <c r="I22" s="103">
        <f t="shared" si="0"/>
        <v>55.88</v>
      </c>
    </row>
    <row r="23" spans="1:9" s="123" customFormat="1" ht="18" customHeight="1">
      <c r="A23" s="120"/>
      <c r="B23" s="106"/>
      <c r="C23" s="121" t="s">
        <v>108</v>
      </c>
      <c r="D23" s="122">
        <f aca="true" t="shared" si="6" ref="D23:I23">D22</f>
        <v>309.41999999999996</v>
      </c>
      <c r="E23" s="122">
        <f t="shared" si="6"/>
        <v>306.33</v>
      </c>
      <c r="F23" s="122">
        <f t="shared" si="6"/>
        <v>252.98</v>
      </c>
      <c r="G23" s="122">
        <f t="shared" si="6"/>
        <v>250.45</v>
      </c>
      <c r="H23" s="122">
        <f t="shared" si="6"/>
        <v>56.44</v>
      </c>
      <c r="I23" s="122">
        <f t="shared" si="6"/>
        <v>55.88</v>
      </c>
    </row>
    <row r="24" spans="1:9" s="123" customFormat="1" ht="18" customHeight="1">
      <c r="A24" s="104">
        <v>12</v>
      </c>
      <c r="B24" s="159">
        <v>5</v>
      </c>
      <c r="C24" s="112" t="s">
        <v>14</v>
      </c>
      <c r="D24" s="103">
        <f>F24+H24</f>
        <v>293.09</v>
      </c>
      <c r="E24" s="103">
        <f>G24+I24</f>
        <v>290.16</v>
      </c>
      <c r="F24" s="124">
        <v>243.23</v>
      </c>
      <c r="G24" s="103">
        <f>ROUND(F24*0.99,2)</f>
        <v>240.8</v>
      </c>
      <c r="H24" s="124">
        <v>49.86</v>
      </c>
      <c r="I24" s="103">
        <f t="shared" si="0"/>
        <v>49.36</v>
      </c>
    </row>
    <row r="25" spans="1:9" s="113" customFormat="1" ht="18" customHeight="1">
      <c r="A25" s="104">
        <v>13</v>
      </c>
      <c r="B25" s="160"/>
      <c r="C25" s="112" t="s">
        <v>121</v>
      </c>
      <c r="D25" s="103">
        <f>F25+H25</f>
        <v>293.09</v>
      </c>
      <c r="E25" s="103">
        <f>G25+I25</f>
        <v>290.16</v>
      </c>
      <c r="F25" s="103">
        <v>243.23</v>
      </c>
      <c r="G25" s="103">
        <f>ROUND(F25*0.99,2)</f>
        <v>240.8</v>
      </c>
      <c r="H25" s="103">
        <v>49.86</v>
      </c>
      <c r="I25" s="103">
        <f t="shared" si="0"/>
        <v>49.36</v>
      </c>
    </row>
    <row r="26" spans="1:9" s="123" customFormat="1" ht="18" customHeight="1">
      <c r="A26" s="120"/>
      <c r="B26" s="106"/>
      <c r="C26" s="121" t="s">
        <v>109</v>
      </c>
      <c r="D26" s="122">
        <f aca="true" t="shared" si="7" ref="D26:I26">D25</f>
        <v>293.09</v>
      </c>
      <c r="E26" s="122">
        <f t="shared" si="7"/>
        <v>290.16</v>
      </c>
      <c r="F26" s="122">
        <f t="shared" si="7"/>
        <v>243.23</v>
      </c>
      <c r="G26" s="122">
        <f t="shared" si="7"/>
        <v>240.8</v>
      </c>
      <c r="H26" s="122">
        <f t="shared" si="7"/>
        <v>49.86</v>
      </c>
      <c r="I26" s="122">
        <f t="shared" si="7"/>
        <v>49.36</v>
      </c>
    </row>
    <row r="27" spans="1:9" s="113" customFormat="1" ht="18" customHeight="1">
      <c r="A27" s="104">
        <v>14</v>
      </c>
      <c r="B27" s="159">
        <v>6</v>
      </c>
      <c r="C27" s="112" t="s">
        <v>12</v>
      </c>
      <c r="D27" s="103">
        <f>F27+H27</f>
        <v>274.38</v>
      </c>
      <c r="E27" s="103">
        <f>G27+I27</f>
        <v>271.64</v>
      </c>
      <c r="F27" s="103">
        <v>222.36</v>
      </c>
      <c r="G27" s="103">
        <f>ROUND(F27*0.99,2)</f>
        <v>220.14</v>
      </c>
      <c r="H27" s="103">
        <v>52.02</v>
      </c>
      <c r="I27" s="103">
        <f t="shared" si="0"/>
        <v>51.5</v>
      </c>
    </row>
    <row r="28" spans="1:9" s="113" customFormat="1" ht="18" customHeight="1">
      <c r="A28" s="104">
        <v>15</v>
      </c>
      <c r="B28" s="160"/>
      <c r="C28" s="112" t="s">
        <v>122</v>
      </c>
      <c r="D28" s="103">
        <f>F28+H28</f>
        <v>274.38</v>
      </c>
      <c r="E28" s="103">
        <f>G28+I28</f>
        <v>271.64</v>
      </c>
      <c r="F28" s="103">
        <v>222.36</v>
      </c>
      <c r="G28" s="103">
        <f>ROUND(F28*0.99,2)</f>
        <v>220.14</v>
      </c>
      <c r="H28" s="103">
        <v>52.02</v>
      </c>
      <c r="I28" s="103">
        <f t="shared" si="0"/>
        <v>51.5</v>
      </c>
    </row>
    <row r="29" spans="1:9" s="123" customFormat="1" ht="18" customHeight="1">
      <c r="A29" s="120"/>
      <c r="B29" s="106"/>
      <c r="C29" s="121" t="s">
        <v>110</v>
      </c>
      <c r="D29" s="122">
        <f aca="true" t="shared" si="8" ref="D29:I29">D28</f>
        <v>274.38</v>
      </c>
      <c r="E29" s="122">
        <f t="shared" si="8"/>
        <v>271.64</v>
      </c>
      <c r="F29" s="122">
        <f t="shared" si="8"/>
        <v>222.36</v>
      </c>
      <c r="G29" s="122">
        <f t="shared" si="8"/>
        <v>220.14</v>
      </c>
      <c r="H29" s="122">
        <f t="shared" si="8"/>
        <v>52.02</v>
      </c>
      <c r="I29" s="122">
        <f t="shared" si="8"/>
        <v>51.5</v>
      </c>
    </row>
    <row r="30" spans="1:9" s="113" customFormat="1" ht="18" customHeight="1">
      <c r="A30" s="104">
        <v>16</v>
      </c>
      <c r="B30" s="159">
        <v>7</v>
      </c>
      <c r="C30" s="112" t="s">
        <v>21</v>
      </c>
      <c r="D30" s="103">
        <f>F30+H30</f>
        <v>267.04</v>
      </c>
      <c r="E30" s="103">
        <f>G30+I30</f>
        <v>264.36</v>
      </c>
      <c r="F30" s="103">
        <v>222.53</v>
      </c>
      <c r="G30" s="103">
        <f>ROUND(F30*0.99,2)</f>
        <v>220.3</v>
      </c>
      <c r="H30" s="103">
        <v>44.51</v>
      </c>
      <c r="I30" s="103">
        <f t="shared" si="0"/>
        <v>44.06</v>
      </c>
    </row>
    <row r="31" spans="1:9" s="113" customFormat="1" ht="18" customHeight="1">
      <c r="A31" s="104">
        <v>17</v>
      </c>
      <c r="B31" s="160"/>
      <c r="C31" s="112" t="s">
        <v>1</v>
      </c>
      <c r="D31" s="103">
        <f>F31+H31</f>
        <v>267.04</v>
      </c>
      <c r="E31" s="103">
        <f>G31+I31</f>
        <v>264.36</v>
      </c>
      <c r="F31" s="103">
        <v>222.53</v>
      </c>
      <c r="G31" s="103">
        <f>ROUND(F31*0.99,2)</f>
        <v>220.3</v>
      </c>
      <c r="H31" s="103">
        <v>44.51</v>
      </c>
      <c r="I31" s="103">
        <f t="shared" si="0"/>
        <v>44.06</v>
      </c>
    </row>
    <row r="32" spans="1:9" s="123" customFormat="1" ht="18" customHeight="1">
      <c r="A32" s="120"/>
      <c r="B32" s="106"/>
      <c r="C32" s="121" t="s">
        <v>111</v>
      </c>
      <c r="D32" s="122">
        <f aca="true" t="shared" si="9" ref="D32:I32">D31</f>
        <v>267.04</v>
      </c>
      <c r="E32" s="122">
        <f t="shared" si="9"/>
        <v>264.36</v>
      </c>
      <c r="F32" s="122">
        <f t="shared" si="9"/>
        <v>222.53</v>
      </c>
      <c r="G32" s="122">
        <f t="shared" si="9"/>
        <v>220.3</v>
      </c>
      <c r="H32" s="122">
        <f t="shared" si="9"/>
        <v>44.51</v>
      </c>
      <c r="I32" s="122">
        <f t="shared" si="9"/>
        <v>44.06</v>
      </c>
    </row>
    <row r="33" spans="1:9" s="113" customFormat="1" ht="18" customHeight="1">
      <c r="A33" s="104">
        <v>18</v>
      </c>
      <c r="B33" s="159">
        <v>8</v>
      </c>
      <c r="C33" s="112" t="s">
        <v>123</v>
      </c>
      <c r="D33" s="103">
        <f>F33+H33</f>
        <v>256.28999999999996</v>
      </c>
      <c r="E33" s="103">
        <f>G33+I33</f>
        <v>253.73000000000002</v>
      </c>
      <c r="F33" s="103">
        <v>205.04</v>
      </c>
      <c r="G33" s="103">
        <f>ROUND(F33*0.99,2)</f>
        <v>202.99</v>
      </c>
      <c r="H33" s="103">
        <v>51.25</v>
      </c>
      <c r="I33" s="103">
        <f t="shared" si="0"/>
        <v>50.74</v>
      </c>
    </row>
    <row r="34" spans="1:9" s="113" customFormat="1" ht="18" customHeight="1">
      <c r="A34" s="104">
        <v>19</v>
      </c>
      <c r="B34" s="160"/>
      <c r="C34" s="116" t="s">
        <v>23</v>
      </c>
      <c r="D34" s="103">
        <f>F34+H34</f>
        <v>256.28999999999996</v>
      </c>
      <c r="E34" s="103">
        <f>G34+I34</f>
        <v>253.73000000000002</v>
      </c>
      <c r="F34" s="103">
        <v>205.04</v>
      </c>
      <c r="G34" s="103">
        <f>ROUND(F34*0.99,2)</f>
        <v>202.99</v>
      </c>
      <c r="H34" s="103">
        <v>51.25</v>
      </c>
      <c r="I34" s="103">
        <f t="shared" si="0"/>
        <v>50.74</v>
      </c>
    </row>
    <row r="35" spans="1:9" s="123" customFormat="1" ht="18" customHeight="1">
      <c r="A35" s="120"/>
      <c r="B35" s="106"/>
      <c r="C35" s="121" t="s">
        <v>112</v>
      </c>
      <c r="D35" s="122">
        <f aca="true" t="shared" si="10" ref="D35:I35">D34</f>
        <v>256.28999999999996</v>
      </c>
      <c r="E35" s="122">
        <f t="shared" si="10"/>
        <v>253.73000000000002</v>
      </c>
      <c r="F35" s="122">
        <f t="shared" si="10"/>
        <v>205.04</v>
      </c>
      <c r="G35" s="122">
        <f t="shared" si="10"/>
        <v>202.99</v>
      </c>
      <c r="H35" s="122">
        <f t="shared" si="10"/>
        <v>51.25</v>
      </c>
      <c r="I35" s="122">
        <f t="shared" si="10"/>
        <v>50.74</v>
      </c>
    </row>
    <row r="36" spans="1:9" s="113" customFormat="1" ht="18" customHeight="1">
      <c r="A36" s="104">
        <v>20</v>
      </c>
      <c r="B36" s="159">
        <v>9</v>
      </c>
      <c r="C36" s="112" t="s">
        <v>19</v>
      </c>
      <c r="D36" s="103">
        <f aca="true" t="shared" si="11" ref="D36:E38">F36+H36</f>
        <v>236.98000000000002</v>
      </c>
      <c r="E36" s="103">
        <f t="shared" si="11"/>
        <v>234.60999999999999</v>
      </c>
      <c r="F36" s="103">
        <v>193.58</v>
      </c>
      <c r="G36" s="103">
        <f>ROUND(F36*0.99,2)</f>
        <v>191.64</v>
      </c>
      <c r="H36" s="103">
        <v>43.4</v>
      </c>
      <c r="I36" s="103">
        <f t="shared" si="0"/>
        <v>42.97</v>
      </c>
    </row>
    <row r="37" spans="1:9" s="113" customFormat="1" ht="18" customHeight="1">
      <c r="A37" s="104">
        <v>21</v>
      </c>
      <c r="B37" s="162"/>
      <c r="C37" s="112" t="s">
        <v>124</v>
      </c>
      <c r="D37" s="103">
        <f t="shared" si="11"/>
        <v>236.98000000000002</v>
      </c>
      <c r="E37" s="103">
        <f t="shared" si="11"/>
        <v>234.60999999999999</v>
      </c>
      <c r="F37" s="103">
        <v>193.58</v>
      </c>
      <c r="G37" s="103">
        <f>ROUND(F37*0.99,2)</f>
        <v>191.64</v>
      </c>
      <c r="H37" s="103">
        <v>43.4</v>
      </c>
      <c r="I37" s="103">
        <f t="shared" si="0"/>
        <v>42.97</v>
      </c>
    </row>
    <row r="38" spans="1:9" s="113" customFormat="1" ht="18" customHeight="1">
      <c r="A38" s="104">
        <v>22</v>
      </c>
      <c r="B38" s="160"/>
      <c r="C38" s="112" t="s">
        <v>20</v>
      </c>
      <c r="D38" s="103">
        <f t="shared" si="11"/>
        <v>236.98000000000002</v>
      </c>
      <c r="E38" s="103">
        <f t="shared" si="11"/>
        <v>234.60999999999999</v>
      </c>
      <c r="F38" s="103">
        <v>193.58</v>
      </c>
      <c r="G38" s="103">
        <f>ROUND(F38*0.99,2)</f>
        <v>191.64</v>
      </c>
      <c r="H38" s="103">
        <v>43.4</v>
      </c>
      <c r="I38" s="103">
        <f t="shared" si="0"/>
        <v>42.97</v>
      </c>
    </row>
    <row r="39" spans="1:9" s="123" customFormat="1" ht="18" customHeight="1">
      <c r="A39" s="120"/>
      <c r="B39" s="106"/>
      <c r="C39" s="121" t="s">
        <v>113</v>
      </c>
      <c r="D39" s="122">
        <f aca="true" t="shared" si="12" ref="D39:I39">D38</f>
        <v>236.98000000000002</v>
      </c>
      <c r="E39" s="122">
        <f t="shared" si="12"/>
        <v>234.60999999999999</v>
      </c>
      <c r="F39" s="122">
        <f t="shared" si="12"/>
        <v>193.58</v>
      </c>
      <c r="G39" s="122">
        <f t="shared" si="12"/>
        <v>191.64</v>
      </c>
      <c r="H39" s="122">
        <f t="shared" si="12"/>
        <v>43.4</v>
      </c>
      <c r="I39" s="122">
        <f t="shared" si="12"/>
        <v>42.97</v>
      </c>
    </row>
    <row r="40" spans="1:9" s="113" customFormat="1" ht="18" customHeight="1">
      <c r="A40" s="104">
        <v>23</v>
      </c>
      <c r="B40" s="159">
        <v>10</v>
      </c>
      <c r="C40" s="112" t="s">
        <v>37</v>
      </c>
      <c r="D40" s="103">
        <v>220.85</v>
      </c>
      <c r="E40" s="103">
        <f>G40+I40</f>
        <v>218.64</v>
      </c>
      <c r="F40" s="103">
        <v>164.31</v>
      </c>
      <c r="G40" s="103">
        <f>ROUND(F40*0.99,2)</f>
        <v>162.67</v>
      </c>
      <c r="H40" s="103">
        <f>D40-F40</f>
        <v>56.53999999999999</v>
      </c>
      <c r="I40" s="103">
        <f t="shared" si="0"/>
        <v>55.97</v>
      </c>
    </row>
    <row r="41" spans="1:9" s="113" customFormat="1" ht="18" customHeight="1">
      <c r="A41" s="104">
        <v>24</v>
      </c>
      <c r="B41" s="160"/>
      <c r="C41" s="112" t="s">
        <v>125</v>
      </c>
      <c r="D41" s="103">
        <v>220.85</v>
      </c>
      <c r="E41" s="103">
        <f>G41+I41</f>
        <v>218.64</v>
      </c>
      <c r="F41" s="103">
        <v>164.31</v>
      </c>
      <c r="G41" s="103">
        <f>ROUND(F41*0.99,2)</f>
        <v>162.67</v>
      </c>
      <c r="H41" s="103">
        <f>D41-F41</f>
        <v>56.53999999999999</v>
      </c>
      <c r="I41" s="103">
        <f t="shared" si="0"/>
        <v>55.97</v>
      </c>
    </row>
    <row r="42" spans="1:9" s="123" customFormat="1" ht="18" customHeight="1">
      <c r="A42" s="125"/>
      <c r="B42" s="106"/>
      <c r="C42" s="121" t="s">
        <v>114</v>
      </c>
      <c r="D42" s="122">
        <f aca="true" t="shared" si="13" ref="D42:I42">D41</f>
        <v>220.85</v>
      </c>
      <c r="E42" s="122">
        <f t="shared" si="13"/>
        <v>218.64</v>
      </c>
      <c r="F42" s="122">
        <f t="shared" si="13"/>
        <v>164.31</v>
      </c>
      <c r="G42" s="122">
        <f t="shared" si="13"/>
        <v>162.67</v>
      </c>
      <c r="H42" s="122">
        <f t="shared" si="13"/>
        <v>56.53999999999999</v>
      </c>
      <c r="I42" s="122">
        <f t="shared" si="13"/>
        <v>55.97</v>
      </c>
    </row>
    <row r="43" ht="15">
      <c r="H43" s="110"/>
    </row>
    <row r="44" spans="2:9" ht="15.75">
      <c r="B44" s="111" t="s">
        <v>103</v>
      </c>
      <c r="C44" s="165" t="s">
        <v>104</v>
      </c>
      <c r="D44" s="165"/>
      <c r="E44" s="165"/>
      <c r="F44" s="165"/>
      <c r="G44" s="165"/>
      <c r="H44" s="165"/>
      <c r="I44" s="165"/>
    </row>
  </sheetData>
  <sheetProtection/>
  <mergeCells count="23">
    <mergeCell ref="G1:I1"/>
    <mergeCell ref="E6:E7"/>
    <mergeCell ref="F6:F7"/>
    <mergeCell ref="H6:H7"/>
    <mergeCell ref="B24:B25"/>
    <mergeCell ref="D5:D7"/>
    <mergeCell ref="B9:B10"/>
    <mergeCell ref="C5:C7"/>
    <mergeCell ref="C44:I44"/>
    <mergeCell ref="B20:B22"/>
    <mergeCell ref="F5:I5"/>
    <mergeCell ref="B36:B38"/>
    <mergeCell ref="A5:A7"/>
    <mergeCell ref="A1:C1"/>
    <mergeCell ref="B27:B28"/>
    <mergeCell ref="B30:B31"/>
    <mergeCell ref="B33:B34"/>
    <mergeCell ref="B40:B41"/>
    <mergeCell ref="A2:I2"/>
    <mergeCell ref="A3:I3"/>
    <mergeCell ref="B12:B14"/>
    <mergeCell ref="B16:B18"/>
    <mergeCell ref="B5:B7"/>
  </mergeCells>
  <printOptions horizontalCentered="1"/>
  <pageMargins left="0.7874015748031497" right="0.3937007874015748" top="0.7874015748031497" bottom="0.1968503937007874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2018-10-30T08:56:31Z</cp:lastPrinted>
  <dcterms:created xsi:type="dcterms:W3CDTF">2013-12-24T07:51:47Z</dcterms:created>
  <dcterms:modified xsi:type="dcterms:W3CDTF">2018-10-30T09:50:00Z</dcterms:modified>
  <cp:category/>
  <cp:version/>
  <cp:contentType/>
  <cp:contentStatus/>
</cp:coreProperties>
</file>